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codeName="ThisWorkbook" defaultThemeVersion="124226"/>
  <bookViews>
    <workbookView xWindow="240" yWindow="105" windowWidth="14805" windowHeight="8010"/>
  </bookViews>
  <sheets>
    <sheet name="DPS计算器" sheetId="3" r:id="rId1"/>
  </sheets>
  <calcPr calcId="144525"/>
</workbook>
</file>

<file path=xl/calcChain.xml><?xml version="1.0" encoding="utf-8"?>
<calcChain xmlns="http://schemas.openxmlformats.org/spreadsheetml/2006/main">
  <c r="F71" i="3" l="1"/>
  <c r="B124" i="3" l="1"/>
  <c r="C124" i="3"/>
  <c r="D124" i="3"/>
  <c r="E124" i="3"/>
  <c r="B125" i="3"/>
  <c r="C125" i="3"/>
  <c r="D125" i="3"/>
  <c r="E125" i="3"/>
  <c r="C123" i="3"/>
  <c r="D123" i="3"/>
  <c r="E123" i="3"/>
  <c r="B123" i="3"/>
  <c r="F125" i="3" l="1"/>
  <c r="F124" i="3"/>
  <c r="F120" i="3"/>
  <c r="F121" i="3"/>
  <c r="F122" i="3"/>
  <c r="F123" i="3"/>
  <c r="F119" i="3"/>
  <c r="H244" i="3" l="1"/>
  <c r="I244" i="3"/>
  <c r="J244" i="3"/>
  <c r="H245" i="3"/>
  <c r="I245" i="3"/>
  <c r="J245" i="3"/>
  <c r="H246" i="3"/>
  <c r="I246" i="3"/>
  <c r="J246" i="3"/>
  <c r="H247" i="3"/>
  <c r="I247" i="3"/>
  <c r="J247" i="3"/>
  <c r="H248" i="3"/>
  <c r="I248" i="3"/>
  <c r="J248" i="3"/>
  <c r="H249" i="3"/>
  <c r="I249" i="3"/>
  <c r="J249" i="3"/>
  <c r="H243" i="3"/>
  <c r="I243" i="3"/>
  <c r="J243" i="3"/>
  <c r="H237" i="3"/>
  <c r="I237" i="3"/>
  <c r="J237" i="3"/>
  <c r="H238" i="3"/>
  <c r="I238" i="3"/>
  <c r="J238" i="3"/>
  <c r="H239" i="3"/>
  <c r="I239" i="3"/>
  <c r="J239" i="3"/>
  <c r="H240" i="3"/>
  <c r="I240" i="3"/>
  <c r="J240" i="3"/>
  <c r="H241" i="3"/>
  <c r="I241" i="3"/>
  <c r="J241" i="3"/>
  <c r="H242" i="3"/>
  <c r="I242" i="3"/>
  <c r="J242" i="3"/>
  <c r="H236" i="3"/>
  <c r="I236" i="3"/>
  <c r="J236" i="3"/>
  <c r="H230" i="3"/>
  <c r="I230" i="3"/>
  <c r="J230" i="3"/>
  <c r="H231" i="3"/>
  <c r="I231" i="3"/>
  <c r="J231" i="3"/>
  <c r="H232" i="3"/>
  <c r="I232" i="3"/>
  <c r="J232" i="3"/>
  <c r="H233" i="3"/>
  <c r="I233" i="3"/>
  <c r="J233" i="3"/>
  <c r="H234" i="3"/>
  <c r="I234" i="3"/>
  <c r="J234" i="3"/>
  <c r="H235" i="3"/>
  <c r="I235" i="3"/>
  <c r="J235" i="3"/>
  <c r="H229" i="3"/>
  <c r="I229" i="3"/>
  <c r="J229" i="3"/>
  <c r="H223" i="3"/>
  <c r="I223" i="3"/>
  <c r="J223" i="3"/>
  <c r="H224" i="3"/>
  <c r="I224" i="3"/>
  <c r="J224" i="3"/>
  <c r="H225" i="3"/>
  <c r="I225" i="3"/>
  <c r="J225" i="3"/>
  <c r="H226" i="3"/>
  <c r="I226" i="3"/>
  <c r="J226" i="3"/>
  <c r="H227" i="3"/>
  <c r="I227" i="3"/>
  <c r="J227" i="3"/>
  <c r="H228" i="3"/>
  <c r="I228" i="3"/>
  <c r="J228" i="3"/>
  <c r="H222" i="3"/>
  <c r="H221" i="3" s="1"/>
  <c r="I222" i="3"/>
  <c r="I221" i="3" s="1"/>
  <c r="J222" i="3"/>
  <c r="J221" i="3" s="1"/>
  <c r="B99" i="3" l="1"/>
  <c r="C80" i="3"/>
  <c r="I116" i="3"/>
  <c r="G116" i="3"/>
  <c r="H116" i="3"/>
  <c r="F116" i="3"/>
  <c r="C137" i="3"/>
  <c r="B100" i="3" l="1"/>
  <c r="P111" i="3" l="1"/>
  <c r="P110" i="3"/>
  <c r="P107" i="3"/>
  <c r="P106" i="3"/>
  <c r="I110" i="3" l="1"/>
  <c r="H110" i="3"/>
  <c r="G110" i="3"/>
  <c r="L63" i="3"/>
  <c r="J63" i="3"/>
  <c r="F63" i="3"/>
  <c r="F73" i="3"/>
  <c r="H183" i="3" l="1"/>
  <c r="I183" i="3"/>
  <c r="J183" i="3"/>
  <c r="H184" i="3"/>
  <c r="I184" i="3"/>
  <c r="J184" i="3"/>
  <c r="H185" i="3"/>
  <c r="I185" i="3"/>
  <c r="J185" i="3"/>
  <c r="H186" i="3"/>
  <c r="I186" i="3"/>
  <c r="J186" i="3"/>
  <c r="H187" i="3"/>
  <c r="I187" i="3"/>
  <c r="J187" i="3"/>
  <c r="H188" i="3"/>
  <c r="I188" i="3"/>
  <c r="J188" i="3"/>
  <c r="H182" i="3"/>
  <c r="I182" i="3"/>
  <c r="J182" i="3"/>
  <c r="Q153" i="3" l="1"/>
  <c r="R153" i="3" s="1"/>
  <c r="H164" i="3" l="1"/>
  <c r="I164" i="3"/>
  <c r="J164" i="3"/>
  <c r="H165" i="3"/>
  <c r="I165" i="3"/>
  <c r="J165" i="3"/>
  <c r="H166" i="3"/>
  <c r="I166" i="3"/>
  <c r="J166" i="3"/>
  <c r="H167" i="3"/>
  <c r="I167" i="3"/>
  <c r="J167" i="3"/>
  <c r="H168" i="3"/>
  <c r="I168" i="3"/>
  <c r="J168" i="3"/>
  <c r="H169" i="3"/>
  <c r="I169" i="3"/>
  <c r="J169" i="3"/>
  <c r="H163" i="3"/>
  <c r="I163" i="3"/>
  <c r="J163" i="3"/>
  <c r="H156" i="3"/>
  <c r="I156" i="3"/>
  <c r="J156" i="3"/>
  <c r="H157" i="3"/>
  <c r="I157" i="3"/>
  <c r="J157" i="3"/>
  <c r="H158" i="3"/>
  <c r="I158" i="3"/>
  <c r="J158" i="3"/>
  <c r="H159" i="3"/>
  <c r="I159" i="3"/>
  <c r="J159" i="3"/>
  <c r="H160" i="3"/>
  <c r="I160" i="3"/>
  <c r="J160" i="3"/>
  <c r="H161" i="3"/>
  <c r="I161" i="3"/>
  <c r="J161" i="3"/>
  <c r="H155" i="3"/>
  <c r="I155" i="3"/>
  <c r="J155" i="3"/>
  <c r="H148" i="3"/>
  <c r="I148" i="3"/>
  <c r="J148" i="3"/>
  <c r="H149" i="3"/>
  <c r="I149" i="3"/>
  <c r="J149" i="3"/>
  <c r="H150" i="3"/>
  <c r="I150" i="3"/>
  <c r="J150" i="3"/>
  <c r="H151" i="3"/>
  <c r="I151" i="3"/>
  <c r="J151" i="3"/>
  <c r="H152" i="3"/>
  <c r="I152" i="3"/>
  <c r="J152" i="3"/>
  <c r="H153" i="3"/>
  <c r="I153" i="3"/>
  <c r="J153" i="3"/>
  <c r="H147" i="3"/>
  <c r="I147" i="3"/>
  <c r="J147" i="3"/>
  <c r="H140" i="3"/>
  <c r="I140" i="3"/>
  <c r="J140" i="3"/>
  <c r="H141" i="3"/>
  <c r="I141" i="3"/>
  <c r="J141" i="3"/>
  <c r="H142" i="3"/>
  <c r="I142" i="3"/>
  <c r="J142" i="3"/>
  <c r="H143" i="3"/>
  <c r="I143" i="3"/>
  <c r="J143" i="3"/>
  <c r="H144" i="3"/>
  <c r="I144" i="3"/>
  <c r="J144" i="3"/>
  <c r="H145" i="3"/>
  <c r="I145" i="3"/>
  <c r="J145" i="3"/>
  <c r="H139" i="3"/>
  <c r="I139" i="3"/>
  <c r="J139" i="3"/>
  <c r="B215" i="3" l="1"/>
  <c r="C215" i="3"/>
  <c r="D215" i="3"/>
  <c r="B216" i="3"/>
  <c r="C216" i="3"/>
  <c r="D216" i="3"/>
  <c r="B212" i="3"/>
  <c r="C212" i="3"/>
  <c r="D212" i="3"/>
  <c r="D217" i="3"/>
  <c r="B217" i="3"/>
  <c r="C217" i="3"/>
  <c r="D213" i="3"/>
  <c r="B213" i="3"/>
  <c r="C213" i="3"/>
  <c r="D211" i="3"/>
  <c r="C211" i="3"/>
  <c r="B211" i="3"/>
  <c r="B210" i="3" s="1"/>
  <c r="B214" i="3"/>
  <c r="C214" i="3"/>
  <c r="D214" i="3"/>
  <c r="F113" i="3"/>
  <c r="F114" i="3" s="1"/>
  <c r="K105" i="3"/>
  <c r="K104" i="3"/>
  <c r="G113" i="3"/>
  <c r="G114" i="3" s="1"/>
  <c r="H113" i="3"/>
  <c r="H114" i="3" s="1"/>
  <c r="I113" i="3"/>
  <c r="I114" i="3" s="1"/>
  <c r="F110" i="3"/>
  <c r="E109" i="3"/>
  <c r="B114" i="3"/>
  <c r="P149" i="3" s="1"/>
  <c r="R149" i="3" s="1"/>
  <c r="E107" i="3"/>
  <c r="M109" i="3"/>
  <c r="I111" i="3"/>
  <c r="I112" i="3" s="1"/>
  <c r="H111" i="3"/>
  <c r="H112" i="3" s="1"/>
  <c r="G111" i="3"/>
  <c r="G112" i="3" s="1"/>
  <c r="F111" i="3"/>
  <c r="F112" i="3" s="1"/>
  <c r="D112" i="3"/>
  <c r="E112" i="3"/>
  <c r="B112" i="3"/>
  <c r="C210" i="3" l="1"/>
  <c r="D210" i="3" s="1"/>
  <c r="F109" i="3"/>
  <c r="H109" i="3"/>
  <c r="I109" i="3"/>
  <c r="G109" i="3"/>
  <c r="H107" i="3" l="1"/>
  <c r="I107" i="3"/>
  <c r="G107" i="3"/>
  <c r="D107" i="3"/>
  <c r="H108" i="3"/>
  <c r="I108" i="3"/>
  <c r="G108" i="3"/>
  <c r="E80" i="3"/>
  <c r="O80" i="3"/>
  <c r="M80" i="3"/>
  <c r="M81" i="3" s="1"/>
  <c r="K80" i="3"/>
  <c r="K81" i="3" s="1"/>
  <c r="I80" i="3"/>
  <c r="I81" i="3" s="1"/>
  <c r="G80" i="3"/>
  <c r="G81" i="3" s="1"/>
  <c r="D80" i="3"/>
  <c r="Q72" i="3"/>
  <c r="Q65" i="3"/>
  <c r="Q67" i="3"/>
  <c r="Q70" i="3"/>
  <c r="F70" i="3"/>
  <c r="H69" i="3"/>
  <c r="N69" i="3"/>
  <c r="F64" i="3"/>
  <c r="B77" i="3"/>
  <c r="E106" i="3"/>
  <c r="N81" i="3" l="1"/>
  <c r="B98" i="3" s="1"/>
  <c r="Q81" i="3"/>
  <c r="F77" i="3"/>
  <c r="P77" i="3"/>
  <c r="H77" i="3"/>
  <c r="Q111" i="3"/>
  <c r="Q110" i="3"/>
  <c r="Q106" i="3"/>
  <c r="Q107" i="3"/>
  <c r="B76" i="3"/>
  <c r="B75" i="3"/>
  <c r="B74" i="3"/>
  <c r="F66" i="3"/>
  <c r="H125" i="3" l="1"/>
  <c r="H124" i="3"/>
  <c r="Q105" i="3"/>
  <c r="R107" i="3" s="1"/>
  <c r="S107" i="3" s="1"/>
  <c r="R105" i="3"/>
  <c r="F75" i="3"/>
  <c r="P75" i="3"/>
  <c r="L76" i="3"/>
  <c r="H76" i="3"/>
  <c r="H81" i="3" s="1"/>
  <c r="B94" i="3" s="1"/>
  <c r="P74" i="3"/>
  <c r="F74" i="3"/>
  <c r="Q109" i="3"/>
  <c r="J74" i="3"/>
  <c r="L74" i="3"/>
  <c r="G125" i="3" l="1"/>
  <c r="G124" i="3"/>
  <c r="L81" i="3"/>
  <c r="B96" i="3" s="1"/>
  <c r="F81" i="3"/>
  <c r="P81" i="3"/>
  <c r="R106" i="3"/>
  <c r="S106" i="3" s="1"/>
  <c r="U106" i="3" s="1"/>
  <c r="S105" i="3"/>
  <c r="S109" i="3"/>
  <c r="T109" i="3" s="1"/>
  <c r="T107" i="3"/>
  <c r="U107" i="3"/>
  <c r="R109" i="3"/>
  <c r="R111" i="3"/>
  <c r="R110" i="3"/>
  <c r="J76" i="3"/>
  <c r="J81" i="3" s="1"/>
  <c r="B95" i="3" s="1"/>
  <c r="S111" i="3"/>
  <c r="T111" i="3" l="1"/>
  <c r="Q171" i="3"/>
  <c r="S110" i="3"/>
  <c r="T110" i="3" s="1"/>
  <c r="T106" i="3"/>
  <c r="U105" i="3"/>
  <c r="B19" i="3" s="1"/>
  <c r="T105" i="3"/>
  <c r="C111" i="3"/>
  <c r="C112" i="3" s="1"/>
  <c r="F108" i="3"/>
  <c r="F107" i="3"/>
  <c r="F106" i="3"/>
  <c r="E108" i="3"/>
  <c r="D109" i="3"/>
  <c r="D106" i="3"/>
  <c r="C109" i="3"/>
  <c r="C108" i="3"/>
  <c r="C107" i="3"/>
  <c r="C106" i="3"/>
  <c r="B109" i="3"/>
  <c r="B107" i="3"/>
  <c r="B106" i="3"/>
  <c r="H106" i="3"/>
  <c r="I106" i="3"/>
  <c r="G106" i="3"/>
  <c r="C19" i="3" l="1"/>
  <c r="D68" i="3"/>
  <c r="D81" i="3" s="1"/>
  <c r="E81" i="3" s="1"/>
  <c r="B92" i="3" s="1"/>
  <c r="C68" i="3"/>
  <c r="C81" i="3" s="1"/>
  <c r="B91" i="3" s="1"/>
  <c r="C171" i="3" l="1"/>
  <c r="B93" i="3"/>
  <c r="O81" i="3"/>
  <c r="B97" i="3" s="1"/>
  <c r="B115" i="3"/>
  <c r="J99" i="3"/>
  <c r="J98" i="3"/>
  <c r="I125" i="3" l="1"/>
  <c r="I124" i="3"/>
  <c r="D19" i="3"/>
  <c r="Q147" i="3" l="1"/>
  <c r="P147" i="3" s="1"/>
  <c r="T195" i="3" s="1"/>
  <c r="E19" i="3"/>
  <c r="F19" i="3" l="1"/>
  <c r="K19" i="3" s="1"/>
  <c r="G19" i="3" l="1"/>
  <c r="H19" i="3" s="1"/>
  <c r="I19" i="3" l="1"/>
  <c r="J19" i="3" l="1"/>
  <c r="C138" i="3" l="1"/>
  <c r="C21" i="3"/>
  <c r="B21" i="3"/>
  <c r="P182" i="3" s="1"/>
  <c r="D21" i="3" l="1"/>
  <c r="E21" i="3" l="1"/>
  <c r="F21" i="3" l="1"/>
  <c r="K21" i="3" s="1"/>
  <c r="G21" i="3" l="1"/>
  <c r="H21" i="3" l="1"/>
  <c r="I21" i="3" s="1"/>
  <c r="J21" i="3" l="1"/>
  <c r="O182" i="3" l="1"/>
  <c r="B25" i="3"/>
  <c r="C146" i="3"/>
  <c r="C23" i="3"/>
  <c r="B23" i="3"/>
  <c r="R182" i="3" s="1"/>
  <c r="Q182" i="3" l="1"/>
  <c r="S182" i="3" s="1"/>
  <c r="T197" i="3"/>
  <c r="B207" i="3"/>
  <c r="L192" i="3" s="1"/>
  <c r="D23" i="3"/>
  <c r="E23" i="3" l="1"/>
  <c r="F23" i="3" s="1"/>
  <c r="K23" i="3" l="1"/>
  <c r="G23" i="3"/>
  <c r="H23" i="3" l="1"/>
  <c r="I23" i="3" l="1"/>
  <c r="J23" i="3" s="1"/>
  <c r="P171" i="3" s="1"/>
  <c r="C25" i="3" l="1"/>
  <c r="C154" i="3"/>
  <c r="E137" i="3" s="1"/>
  <c r="R151" i="3" s="1"/>
  <c r="C207" i="3" l="1"/>
  <c r="L193" i="3" s="1"/>
  <c r="S149" i="3"/>
  <c r="S195" i="3" s="1"/>
  <c r="D25" i="3"/>
  <c r="D207" i="3" s="1"/>
  <c r="O160" i="3"/>
  <c r="L194" i="3" l="1"/>
  <c r="E25" i="3"/>
  <c r="E207" i="3" s="1"/>
  <c r="L195" i="3" l="1"/>
  <c r="F25" i="3"/>
  <c r="K25" i="3" s="1"/>
  <c r="G25" i="3" l="1"/>
  <c r="G207" i="3" s="1"/>
  <c r="F207" i="3"/>
  <c r="H25" i="3" l="1"/>
  <c r="L196" i="3"/>
  <c r="L197" i="3"/>
  <c r="I25" i="3" l="1"/>
  <c r="H207" i="3"/>
  <c r="L198" i="3" l="1"/>
  <c r="I207" i="3"/>
  <c r="L199" i="3" s="1"/>
  <c r="J25" i="3"/>
  <c r="S151" i="3" s="1"/>
  <c r="J207" i="3" l="1"/>
  <c r="L219" i="3" s="1"/>
  <c r="C162" i="3"/>
  <c r="Q160" i="3" s="1"/>
  <c r="C181" i="3"/>
  <c r="I181" i="3"/>
  <c r="J181" i="3" s="1"/>
  <c r="P160" i="3" l="1"/>
  <c r="L216" i="3"/>
  <c r="L212" i="3"/>
  <c r="M212" i="3" s="1"/>
  <c r="L215" i="3"/>
  <c r="L211" i="3"/>
  <c r="M211" i="3" s="1"/>
  <c r="L213" i="3"/>
  <c r="L218" i="3"/>
  <c r="L214" i="3"/>
  <c r="L217" i="3"/>
  <c r="R155" i="3"/>
  <c r="S155" i="3" s="1"/>
  <c r="T155" i="3" s="1"/>
  <c r="Q195" i="3"/>
  <c r="P157" i="3"/>
  <c r="Q157" i="3" s="1"/>
  <c r="R160" i="3"/>
  <c r="M213" i="3" l="1"/>
  <c r="M214" i="3"/>
  <c r="M215" i="3" s="1"/>
  <c r="M216" i="3" s="1"/>
  <c r="M217" i="3" s="1"/>
  <c r="M218" i="3" s="1"/>
  <c r="M219" i="3" s="1"/>
  <c r="R195" i="3"/>
  <c r="S197" i="3"/>
  <c r="S160" i="3"/>
  <c r="U155" i="3" l="1"/>
  <c r="R197" i="3" s="1"/>
  <c r="I120" i="3"/>
  <c r="H123" i="3"/>
  <c r="H120" i="3"/>
  <c r="H119" i="3"/>
  <c r="H121" i="3"/>
  <c r="H122" i="3"/>
  <c r="G123" i="3"/>
  <c r="G122" i="3"/>
  <c r="G120" i="3"/>
  <c r="G119" i="3"/>
  <c r="G121" i="3"/>
  <c r="C115" i="3"/>
  <c r="D115" i="3"/>
  <c r="E115" i="3"/>
  <c r="C174" i="3" l="1"/>
  <c r="G174" i="3"/>
  <c r="B230" i="3" s="1"/>
  <c r="D174" i="3"/>
  <c r="J174" i="3"/>
  <c r="K174" i="3"/>
  <c r="E174" i="3"/>
  <c r="I174" i="3"/>
  <c r="B244" i="3" s="1"/>
  <c r="H174" i="3"/>
  <c r="B237" i="3" s="1"/>
  <c r="B174" i="3"/>
  <c r="C237" i="3" s="1"/>
  <c r="F174" i="3"/>
  <c r="M174" i="3"/>
  <c r="H129" i="3"/>
  <c r="B129" i="3"/>
  <c r="L129" i="3"/>
  <c r="D129" i="3"/>
  <c r="E129" i="3"/>
  <c r="G129" i="3"/>
  <c r="L174" i="3"/>
  <c r="C129" i="3"/>
  <c r="M129" i="3"/>
  <c r="F129" i="3"/>
  <c r="K129" i="3"/>
  <c r="S185" i="3" s="1"/>
  <c r="I129" i="3"/>
  <c r="J129" i="3"/>
  <c r="O139" i="3" s="1"/>
  <c r="I121" i="3"/>
  <c r="I119" i="3"/>
  <c r="I123" i="3"/>
  <c r="I122" i="3"/>
  <c r="S174" i="3" l="1"/>
  <c r="Q139" i="3"/>
  <c r="G140" i="3"/>
  <c r="E244" i="3"/>
  <c r="E237" i="3"/>
  <c r="C244" i="3"/>
  <c r="D244" i="3"/>
  <c r="D237" i="3"/>
  <c r="F244" i="3"/>
  <c r="F237" i="3"/>
  <c r="G244" i="3"/>
  <c r="G237" i="3"/>
  <c r="E223" i="3"/>
  <c r="E230" i="3"/>
  <c r="B223" i="3"/>
  <c r="C230" i="3"/>
  <c r="C223" i="3"/>
  <c r="G183" i="3"/>
  <c r="D223" i="3"/>
  <c r="D230" i="3"/>
  <c r="F223" i="3"/>
  <c r="F230" i="3"/>
  <c r="G223" i="3"/>
  <c r="G230" i="3"/>
  <c r="G164" i="3"/>
  <c r="E212" i="3" s="1"/>
  <c r="G148" i="3"/>
  <c r="G156" i="3"/>
  <c r="S163" i="3"/>
  <c r="P185" i="3"/>
  <c r="Q185" i="3"/>
  <c r="R185" i="3"/>
  <c r="F179" i="3"/>
  <c r="I179" i="3"/>
  <c r="B249" i="3" s="1"/>
  <c r="G179" i="3"/>
  <c r="B235" i="3" s="1"/>
  <c r="E179" i="3"/>
  <c r="D179" i="3"/>
  <c r="B179" i="3"/>
  <c r="H179" i="3"/>
  <c r="B242" i="3" s="1"/>
  <c r="J179" i="3"/>
  <c r="K179" i="3"/>
  <c r="C179" i="3"/>
  <c r="M179" i="3"/>
  <c r="H134" i="3"/>
  <c r="B161" i="3" s="1"/>
  <c r="I134" i="3"/>
  <c r="B169" i="3" s="1"/>
  <c r="F134" i="3"/>
  <c r="B145" i="3" s="1"/>
  <c r="L179" i="3"/>
  <c r="L134" i="3"/>
  <c r="J134" i="3"/>
  <c r="O144" i="3" s="1"/>
  <c r="C134" i="3"/>
  <c r="D134" i="3"/>
  <c r="G134" i="3"/>
  <c r="B153" i="3" s="1"/>
  <c r="M134" i="3"/>
  <c r="K134" i="3"/>
  <c r="S190" i="3" s="1"/>
  <c r="B134" i="3"/>
  <c r="E134" i="3"/>
  <c r="E175" i="3"/>
  <c r="D175" i="3"/>
  <c r="B175" i="3"/>
  <c r="F175" i="3"/>
  <c r="H175" i="3"/>
  <c r="B238" i="3" s="1"/>
  <c r="J175" i="3"/>
  <c r="K175" i="3"/>
  <c r="C175" i="3"/>
  <c r="I175" i="3"/>
  <c r="G175" i="3"/>
  <c r="B231" i="3" s="1"/>
  <c r="H130" i="3"/>
  <c r="B157" i="3" s="1"/>
  <c r="E130" i="3"/>
  <c r="K130" i="3"/>
  <c r="S186" i="3" s="1"/>
  <c r="D130" i="3"/>
  <c r="F130" i="3"/>
  <c r="B141" i="3" s="1"/>
  <c r="L175" i="3"/>
  <c r="L130" i="3"/>
  <c r="J130" i="3"/>
  <c r="O140" i="3" s="1"/>
  <c r="G130" i="3"/>
  <c r="B149" i="3" s="1"/>
  <c r="M175" i="3"/>
  <c r="M130" i="3"/>
  <c r="I130" i="3"/>
  <c r="B165" i="3" s="1"/>
  <c r="C130" i="3"/>
  <c r="B130" i="3"/>
  <c r="C177" i="3"/>
  <c r="B177" i="3"/>
  <c r="J177" i="3"/>
  <c r="E177" i="3"/>
  <c r="K177" i="3"/>
  <c r="I177" i="3"/>
  <c r="H177" i="3"/>
  <c r="B240" i="3" s="1"/>
  <c r="G177" i="3"/>
  <c r="B233" i="3" s="1"/>
  <c r="D177" i="3"/>
  <c r="F177" i="3"/>
  <c r="K132" i="3"/>
  <c r="S188" i="3" s="1"/>
  <c r="L177" i="3"/>
  <c r="I132" i="3"/>
  <c r="B167" i="3" s="1"/>
  <c r="M132" i="3"/>
  <c r="B132" i="3"/>
  <c r="J132" i="3"/>
  <c r="O142" i="3" s="1"/>
  <c r="E132" i="3"/>
  <c r="M177" i="3"/>
  <c r="G132" i="3"/>
  <c r="B151" i="3" s="1"/>
  <c r="L132" i="3"/>
  <c r="D132" i="3"/>
  <c r="H132" i="3"/>
  <c r="B159" i="3" s="1"/>
  <c r="F132" i="3"/>
  <c r="B143" i="3" s="1"/>
  <c r="C132" i="3"/>
  <c r="F178" i="3"/>
  <c r="B178" i="3"/>
  <c r="C178" i="3"/>
  <c r="H178" i="3"/>
  <c r="B241" i="3" s="1"/>
  <c r="D178" i="3"/>
  <c r="J178" i="3"/>
  <c r="K178" i="3"/>
  <c r="E178" i="3"/>
  <c r="G178" i="3"/>
  <c r="B234" i="3" s="1"/>
  <c r="I178" i="3"/>
  <c r="E133" i="3"/>
  <c r="K133" i="3"/>
  <c r="S189" i="3" s="1"/>
  <c r="C133" i="3"/>
  <c r="M178" i="3"/>
  <c r="D133" i="3"/>
  <c r="J133" i="3"/>
  <c r="O143" i="3" s="1"/>
  <c r="H133" i="3"/>
  <c r="B160" i="3" s="1"/>
  <c r="I133" i="3"/>
  <c r="B168" i="3" s="1"/>
  <c r="L133" i="3"/>
  <c r="G133" i="3"/>
  <c r="B152" i="3" s="1"/>
  <c r="L178" i="3"/>
  <c r="M133" i="3"/>
  <c r="F133" i="3"/>
  <c r="B144" i="3" s="1"/>
  <c r="B133" i="3"/>
  <c r="F173" i="3"/>
  <c r="I173" i="3"/>
  <c r="G173" i="3"/>
  <c r="B229" i="3" s="1"/>
  <c r="K173" i="3"/>
  <c r="D173" i="3"/>
  <c r="H173" i="3"/>
  <c r="B236" i="3" s="1"/>
  <c r="E173" i="3"/>
  <c r="B173" i="3"/>
  <c r="J173" i="3"/>
  <c r="C173" i="3"/>
  <c r="B128" i="3"/>
  <c r="K128" i="3"/>
  <c r="S184" i="3" s="1"/>
  <c r="C128" i="3"/>
  <c r="D128" i="3"/>
  <c r="M128" i="3"/>
  <c r="F128" i="3"/>
  <c r="B139" i="3" s="1"/>
  <c r="H128" i="3"/>
  <c r="B155" i="3" s="1"/>
  <c r="L173" i="3"/>
  <c r="L128" i="3"/>
  <c r="I128" i="3"/>
  <c r="B163" i="3" s="1"/>
  <c r="M173" i="3"/>
  <c r="E128" i="3"/>
  <c r="J128" i="3"/>
  <c r="O138" i="3" s="1"/>
  <c r="G128" i="3"/>
  <c r="B147" i="3" s="1"/>
  <c r="K176" i="3"/>
  <c r="C176" i="3"/>
  <c r="F176" i="3"/>
  <c r="D176" i="3"/>
  <c r="G176" i="3"/>
  <c r="B232" i="3" s="1"/>
  <c r="E176" i="3"/>
  <c r="J176" i="3"/>
  <c r="B176" i="3"/>
  <c r="H176" i="3"/>
  <c r="B239" i="3" s="1"/>
  <c r="I176" i="3"/>
  <c r="I131" i="3"/>
  <c r="B166" i="3" s="1"/>
  <c r="E131" i="3"/>
  <c r="D131" i="3"/>
  <c r="L176" i="3"/>
  <c r="L131" i="3"/>
  <c r="M176" i="3"/>
  <c r="J131" i="3"/>
  <c r="O141" i="3" s="1"/>
  <c r="G131" i="3"/>
  <c r="B150" i="3" s="1"/>
  <c r="B131" i="3"/>
  <c r="K131" i="3"/>
  <c r="S187" i="3" s="1"/>
  <c r="C131" i="3"/>
  <c r="M131" i="3"/>
  <c r="H131" i="3"/>
  <c r="B158" i="3" s="1"/>
  <c r="F131" i="3"/>
  <c r="B142" i="3" s="1"/>
  <c r="B164" i="3"/>
  <c r="B140" i="3"/>
  <c r="B156" i="3"/>
  <c r="B183" i="3"/>
  <c r="B148" i="3"/>
  <c r="C239" i="3" l="1"/>
  <c r="C236" i="3"/>
  <c r="C238" i="3"/>
  <c r="C241" i="3"/>
  <c r="C240" i="3"/>
  <c r="C242" i="3"/>
  <c r="S176" i="3"/>
  <c r="Q140" i="3"/>
  <c r="S179" i="3"/>
  <c r="Q143" i="3"/>
  <c r="G143" i="3"/>
  <c r="S178" i="3"/>
  <c r="G141" i="3"/>
  <c r="S175" i="3"/>
  <c r="Q141" i="3"/>
  <c r="G142" i="3"/>
  <c r="G139" i="3"/>
  <c r="G144" i="3"/>
  <c r="S177" i="3"/>
  <c r="S173" i="3"/>
  <c r="Q142" i="3"/>
  <c r="Q144" i="3"/>
  <c r="G145" i="3"/>
  <c r="B188" i="3"/>
  <c r="B206" i="3" s="1"/>
  <c r="P139" i="3"/>
  <c r="K244" i="3"/>
  <c r="K237" i="3"/>
  <c r="G247" i="3"/>
  <c r="G240" i="3"/>
  <c r="C247" i="3"/>
  <c r="D247" i="3"/>
  <c r="D240" i="3"/>
  <c r="F247" i="3"/>
  <c r="F240" i="3"/>
  <c r="B184" i="3"/>
  <c r="B202" i="3" s="1"/>
  <c r="B245" i="3"/>
  <c r="E245" i="3"/>
  <c r="E238" i="3"/>
  <c r="K230" i="3"/>
  <c r="E248" i="3"/>
  <c r="E241" i="3"/>
  <c r="C245" i="3"/>
  <c r="D245" i="3"/>
  <c r="D238" i="3"/>
  <c r="F245" i="3"/>
  <c r="F238" i="3"/>
  <c r="G245" i="3"/>
  <c r="G238" i="3"/>
  <c r="E243" i="3"/>
  <c r="E236" i="3"/>
  <c r="E246" i="3"/>
  <c r="E239" i="3"/>
  <c r="B186" i="3"/>
  <c r="B247" i="3"/>
  <c r="E247" i="3"/>
  <c r="E240" i="3"/>
  <c r="E249" i="3"/>
  <c r="E242" i="3"/>
  <c r="F248" i="3"/>
  <c r="F241" i="3"/>
  <c r="G248" i="3"/>
  <c r="G241" i="3"/>
  <c r="C248" i="3"/>
  <c r="D248" i="3"/>
  <c r="D241" i="3"/>
  <c r="B185" i="3"/>
  <c r="B203" i="3" s="1"/>
  <c r="B246" i="3"/>
  <c r="C246" i="3"/>
  <c r="D246" i="3"/>
  <c r="D239" i="3"/>
  <c r="F246" i="3"/>
  <c r="F239" i="3"/>
  <c r="G246" i="3"/>
  <c r="G239" i="3"/>
  <c r="F243" i="3"/>
  <c r="F236" i="3"/>
  <c r="G236" i="3"/>
  <c r="G243" i="3"/>
  <c r="C243" i="3"/>
  <c r="D243" i="3"/>
  <c r="D236" i="3"/>
  <c r="B182" i="3"/>
  <c r="B200" i="3" s="1"/>
  <c r="B243" i="3"/>
  <c r="B187" i="3"/>
  <c r="C205" i="3" s="1"/>
  <c r="B248" i="3"/>
  <c r="F249" i="3"/>
  <c r="F242" i="3"/>
  <c r="G242" i="3"/>
  <c r="G249" i="3"/>
  <c r="C249" i="3"/>
  <c r="D249" i="3"/>
  <c r="D242" i="3"/>
  <c r="K223" i="3"/>
  <c r="E225" i="3"/>
  <c r="E232" i="3"/>
  <c r="C228" i="3"/>
  <c r="C235" i="3"/>
  <c r="E226" i="3"/>
  <c r="E233" i="3"/>
  <c r="B224" i="3"/>
  <c r="E228" i="3"/>
  <c r="E235" i="3"/>
  <c r="B225" i="3"/>
  <c r="G187" i="3"/>
  <c r="G234" i="3"/>
  <c r="D227" i="3"/>
  <c r="D234" i="3"/>
  <c r="F227" i="3"/>
  <c r="F234" i="3"/>
  <c r="G227" i="3"/>
  <c r="C224" i="3"/>
  <c r="C231" i="3"/>
  <c r="G185" i="3"/>
  <c r="D225" i="3"/>
  <c r="D232" i="3"/>
  <c r="F225" i="3"/>
  <c r="F232" i="3"/>
  <c r="G225" i="3"/>
  <c r="G232" i="3"/>
  <c r="G182" i="3"/>
  <c r="F229" i="3"/>
  <c r="G222" i="3"/>
  <c r="G229" i="3"/>
  <c r="D222" i="3"/>
  <c r="D229" i="3"/>
  <c r="F222" i="3"/>
  <c r="C227" i="3"/>
  <c r="C234" i="3"/>
  <c r="B226" i="3"/>
  <c r="C226" i="3"/>
  <c r="C233" i="3"/>
  <c r="G188" i="3"/>
  <c r="F235" i="3"/>
  <c r="G235" i="3"/>
  <c r="D228" i="3"/>
  <c r="D235" i="3"/>
  <c r="G228" i="3"/>
  <c r="F228" i="3"/>
  <c r="B222" i="3"/>
  <c r="B227" i="3"/>
  <c r="G186" i="3"/>
  <c r="D226" i="3"/>
  <c r="D233" i="3"/>
  <c r="F226" i="3"/>
  <c r="F233" i="3"/>
  <c r="G226" i="3"/>
  <c r="G233" i="3"/>
  <c r="E224" i="3"/>
  <c r="E231" i="3"/>
  <c r="B228" i="3"/>
  <c r="C225" i="3"/>
  <c r="C232" i="3"/>
  <c r="C222" i="3"/>
  <c r="C229" i="3"/>
  <c r="E227" i="3"/>
  <c r="E234" i="3"/>
  <c r="G184" i="3"/>
  <c r="D224" i="3"/>
  <c r="D231" i="3"/>
  <c r="F224" i="3"/>
  <c r="F231" i="3"/>
  <c r="G224" i="3"/>
  <c r="G231" i="3"/>
  <c r="E222" i="3"/>
  <c r="E229" i="3"/>
  <c r="Q138" i="3"/>
  <c r="G167" i="3"/>
  <c r="E215" i="3" s="1"/>
  <c r="G159" i="3"/>
  <c r="G151" i="3"/>
  <c r="G165" i="3"/>
  <c r="E213" i="3" s="1"/>
  <c r="G157" i="3"/>
  <c r="G149" i="3"/>
  <c r="G166" i="3"/>
  <c r="E214" i="3" s="1"/>
  <c r="G158" i="3"/>
  <c r="G150" i="3"/>
  <c r="G163" i="3"/>
  <c r="E211" i="3" s="1"/>
  <c r="E210" i="3" s="1"/>
  <c r="G147" i="3"/>
  <c r="G155" i="3"/>
  <c r="G168" i="3"/>
  <c r="E216" i="3" s="1"/>
  <c r="G152" i="3"/>
  <c r="G160" i="3"/>
  <c r="G169" i="3"/>
  <c r="E217" i="3" s="1"/>
  <c r="G153" i="3"/>
  <c r="G161" i="3"/>
  <c r="S165" i="3"/>
  <c r="S167" i="3"/>
  <c r="S162" i="3"/>
  <c r="S168" i="3"/>
  <c r="S164" i="3"/>
  <c r="S166" i="3"/>
  <c r="P186" i="3"/>
  <c r="Q186" i="3"/>
  <c r="R186" i="3"/>
  <c r="P187" i="3"/>
  <c r="Q187" i="3"/>
  <c r="R187" i="3"/>
  <c r="Q184" i="3"/>
  <c r="R184" i="3"/>
  <c r="P189" i="3"/>
  <c r="Q189" i="3"/>
  <c r="R189" i="3"/>
  <c r="P188" i="3"/>
  <c r="Q188" i="3"/>
  <c r="R188" i="3"/>
  <c r="P190" i="3"/>
  <c r="Q190" i="3"/>
  <c r="R190" i="3"/>
  <c r="P184" i="3"/>
  <c r="B201" i="3"/>
  <c r="C201" i="3"/>
  <c r="C158" i="3"/>
  <c r="C150" i="3"/>
  <c r="C142" i="3"/>
  <c r="D184" i="3"/>
  <c r="F184" i="3"/>
  <c r="C184" i="3"/>
  <c r="C149" i="3"/>
  <c r="C157" i="3"/>
  <c r="C141" i="3"/>
  <c r="E187" i="3"/>
  <c r="C143" i="3"/>
  <c r="C151" i="3"/>
  <c r="C159" i="3"/>
  <c r="E155" i="3"/>
  <c r="E147" i="3"/>
  <c r="E139" i="3"/>
  <c r="E163" i="3"/>
  <c r="V138" i="3"/>
  <c r="B196" i="3"/>
  <c r="C196" i="3"/>
  <c r="E185" i="3"/>
  <c r="C197" i="3"/>
  <c r="B197" i="3"/>
  <c r="E183" i="3"/>
  <c r="E156" i="3"/>
  <c r="E148" i="3"/>
  <c r="V139" i="3"/>
  <c r="E140" i="3"/>
  <c r="E164" i="3"/>
  <c r="F151" i="3"/>
  <c r="F143" i="3"/>
  <c r="F159" i="3"/>
  <c r="D167" i="3"/>
  <c r="D151" i="3"/>
  <c r="D143" i="3"/>
  <c r="C167" i="3"/>
  <c r="F167" i="3"/>
  <c r="D159" i="3"/>
  <c r="T142" i="3"/>
  <c r="U142" i="3"/>
  <c r="E186" i="3"/>
  <c r="C187" i="3"/>
  <c r="D187" i="3"/>
  <c r="F187" i="3"/>
  <c r="B192" i="3"/>
  <c r="C192" i="3"/>
  <c r="C182" i="3"/>
  <c r="F182" i="3"/>
  <c r="D182" i="3"/>
  <c r="C200" i="3"/>
  <c r="C169" i="3"/>
  <c r="D198" i="3" s="1"/>
  <c r="F161" i="3"/>
  <c r="F169" i="3"/>
  <c r="D169" i="3"/>
  <c r="F153" i="3"/>
  <c r="D145" i="3"/>
  <c r="T144" i="3"/>
  <c r="U144" i="3"/>
  <c r="F145" i="3"/>
  <c r="D153" i="3"/>
  <c r="D161" i="3"/>
  <c r="C153" i="3"/>
  <c r="C145" i="3"/>
  <c r="C161" i="3"/>
  <c r="E160" i="3"/>
  <c r="E168" i="3"/>
  <c r="V143" i="3"/>
  <c r="E144" i="3"/>
  <c r="E152" i="3"/>
  <c r="F148" i="3"/>
  <c r="F164" i="3"/>
  <c r="D140" i="3"/>
  <c r="D148" i="3"/>
  <c r="T139" i="3"/>
  <c r="D156" i="3"/>
  <c r="U139" i="3"/>
  <c r="F156" i="3"/>
  <c r="D164" i="3"/>
  <c r="F140" i="3"/>
  <c r="C164" i="3"/>
  <c r="C183" i="3"/>
  <c r="D183" i="3"/>
  <c r="F183" i="3"/>
  <c r="C186" i="3"/>
  <c r="D204" i="3" s="1"/>
  <c r="F186" i="3"/>
  <c r="D186" i="3"/>
  <c r="B204" i="3"/>
  <c r="C204" i="3"/>
  <c r="C156" i="3"/>
  <c r="C140" i="3"/>
  <c r="C148" i="3"/>
  <c r="E184" i="3"/>
  <c r="D185" i="3"/>
  <c r="C185" i="3"/>
  <c r="F185" i="3"/>
  <c r="V142" i="3"/>
  <c r="E151" i="3"/>
  <c r="E159" i="3"/>
  <c r="E167" i="3"/>
  <c r="E143" i="3"/>
  <c r="B194" i="3"/>
  <c r="C194" i="3"/>
  <c r="C147" i="3"/>
  <c r="C139" i="3"/>
  <c r="C155" i="3"/>
  <c r="F144" i="3"/>
  <c r="F152" i="3"/>
  <c r="D160" i="3"/>
  <c r="D144" i="3"/>
  <c r="U143" i="3"/>
  <c r="D168" i="3"/>
  <c r="F168" i="3"/>
  <c r="C168" i="3"/>
  <c r="F160" i="3"/>
  <c r="T143" i="3"/>
  <c r="D152" i="3"/>
  <c r="U138" i="3"/>
  <c r="D155" i="3"/>
  <c r="D147" i="3"/>
  <c r="C163" i="3"/>
  <c r="D139" i="3"/>
  <c r="F163" i="3"/>
  <c r="T138" i="3"/>
  <c r="F147" i="3"/>
  <c r="D163" i="3"/>
  <c r="F155" i="3"/>
  <c r="F139" i="3"/>
  <c r="E149" i="3"/>
  <c r="E157" i="3"/>
  <c r="V140" i="3"/>
  <c r="E165" i="3"/>
  <c r="E141" i="3"/>
  <c r="E188" i="3"/>
  <c r="E182" i="3"/>
  <c r="U141" i="3"/>
  <c r="T141" i="3"/>
  <c r="F150" i="3"/>
  <c r="F158" i="3"/>
  <c r="C166" i="3"/>
  <c r="D158" i="3"/>
  <c r="D142" i="3"/>
  <c r="D166" i="3"/>
  <c r="F142" i="3"/>
  <c r="D150" i="3"/>
  <c r="F166" i="3"/>
  <c r="C195" i="3"/>
  <c r="B195" i="3"/>
  <c r="C203" i="3"/>
  <c r="C198" i="3"/>
  <c r="B198" i="3"/>
  <c r="U140" i="3"/>
  <c r="D165" i="3"/>
  <c r="C165" i="3"/>
  <c r="D141" i="3"/>
  <c r="F141" i="3"/>
  <c r="F157" i="3"/>
  <c r="D157" i="3"/>
  <c r="F149" i="3"/>
  <c r="D149" i="3"/>
  <c r="T140" i="3"/>
  <c r="F165" i="3"/>
  <c r="C144" i="3"/>
  <c r="C152" i="3"/>
  <c r="C160" i="3"/>
  <c r="V144" i="3"/>
  <c r="E169" i="3"/>
  <c r="E145" i="3"/>
  <c r="E153" i="3"/>
  <c r="E161" i="3"/>
  <c r="F188" i="3"/>
  <c r="C188" i="3"/>
  <c r="D188" i="3"/>
  <c r="E158" i="3"/>
  <c r="E142" i="3"/>
  <c r="V141" i="3"/>
  <c r="E150" i="3"/>
  <c r="E166" i="3"/>
  <c r="B193" i="3"/>
  <c r="C193" i="3"/>
  <c r="D200" i="3" l="1"/>
  <c r="C206" i="3"/>
  <c r="C202" i="3"/>
  <c r="P138" i="3"/>
  <c r="P143" i="3"/>
  <c r="P140" i="3"/>
  <c r="P142" i="3"/>
  <c r="P141" i="3"/>
  <c r="B205" i="3"/>
  <c r="P144" i="3"/>
  <c r="K240" i="3"/>
  <c r="K239" i="3"/>
  <c r="K246" i="3"/>
  <c r="K249" i="3"/>
  <c r="L236" i="3"/>
  <c r="K241" i="3"/>
  <c r="K242" i="3"/>
  <c r="K238" i="3"/>
  <c r="K229" i="3"/>
  <c r="K232" i="3"/>
  <c r="K233" i="3"/>
  <c r="K247" i="3"/>
  <c r="K243" i="3"/>
  <c r="L243" i="3"/>
  <c r="K236" i="3"/>
  <c r="K231" i="3"/>
  <c r="K245" i="3"/>
  <c r="K248" i="3"/>
  <c r="K225" i="3"/>
  <c r="K224" i="3"/>
  <c r="K222" i="3"/>
  <c r="B221" i="3"/>
  <c r="C221" i="3" s="1"/>
  <c r="D221" i="3" s="1"/>
  <c r="E221" i="3" s="1"/>
  <c r="F221" i="3" s="1"/>
  <c r="G221" i="3" s="1"/>
  <c r="L222" i="3"/>
  <c r="K226" i="3"/>
  <c r="L229" i="3"/>
  <c r="K235" i="3"/>
  <c r="K234" i="3"/>
  <c r="K228" i="3"/>
  <c r="K227" i="3"/>
  <c r="K144" i="3"/>
  <c r="K143" i="3"/>
  <c r="K168" i="3"/>
  <c r="K152" i="3"/>
  <c r="K160" i="3"/>
  <c r="K148" i="3"/>
  <c r="K183" i="3"/>
  <c r="K187" i="3"/>
  <c r="K185" i="3"/>
  <c r="K184" i="3"/>
  <c r="K188" i="3"/>
  <c r="K182" i="3"/>
  <c r="K186" i="3"/>
  <c r="K139" i="3"/>
  <c r="K151" i="3"/>
  <c r="K157" i="3"/>
  <c r="K147" i="3"/>
  <c r="K140" i="3"/>
  <c r="K169" i="3"/>
  <c r="K149" i="3"/>
  <c r="K165" i="3"/>
  <c r="K166" i="3"/>
  <c r="K156" i="3"/>
  <c r="K164" i="3"/>
  <c r="K161" i="3"/>
  <c r="K159" i="3"/>
  <c r="K163" i="3"/>
  <c r="K145" i="3"/>
  <c r="K142" i="3"/>
  <c r="K153" i="3"/>
  <c r="K167" i="3"/>
  <c r="K150" i="3"/>
  <c r="K155" i="3"/>
  <c r="K141" i="3"/>
  <c r="K158" i="3"/>
  <c r="G214" i="3"/>
  <c r="I214" i="3"/>
  <c r="F214" i="3"/>
  <c r="H214" i="3"/>
  <c r="J214" i="3"/>
  <c r="J216" i="3"/>
  <c r="G216" i="3"/>
  <c r="F216" i="3"/>
  <c r="I216" i="3"/>
  <c r="H216" i="3"/>
  <c r="I213" i="3"/>
  <c r="G213" i="3"/>
  <c r="H213" i="3"/>
  <c r="F213" i="3"/>
  <c r="J213" i="3"/>
  <c r="I212" i="3"/>
  <c r="J212" i="3"/>
  <c r="G212" i="3"/>
  <c r="H212" i="3"/>
  <c r="F212" i="3"/>
  <c r="I215" i="3"/>
  <c r="F215" i="3"/>
  <c r="J215" i="3"/>
  <c r="G215" i="3"/>
  <c r="H215" i="3"/>
  <c r="F211" i="3"/>
  <c r="F210" i="3" s="1"/>
  <c r="I211" i="3"/>
  <c r="G211" i="3"/>
  <c r="H211" i="3"/>
  <c r="J211" i="3"/>
  <c r="J217" i="3"/>
  <c r="G217" i="3"/>
  <c r="I217" i="3"/>
  <c r="H217" i="3"/>
  <c r="F217" i="3"/>
  <c r="F203" i="3"/>
  <c r="D203" i="3"/>
  <c r="G193" i="3"/>
  <c r="E198" i="3"/>
  <c r="H203" i="3"/>
  <c r="H193" i="3"/>
  <c r="J195" i="3"/>
  <c r="G198" i="3"/>
  <c r="J203" i="3"/>
  <c r="I193" i="3"/>
  <c r="E203" i="3"/>
  <c r="F193" i="3"/>
  <c r="I203" i="3"/>
  <c r="J193" i="3"/>
  <c r="D193" i="3"/>
  <c r="E193" i="3"/>
  <c r="G203" i="3"/>
  <c r="H192" i="3"/>
  <c r="E204" i="3"/>
  <c r="E195" i="3"/>
  <c r="E194" i="3"/>
  <c r="E200" i="3"/>
  <c r="H198" i="3"/>
  <c r="I206" i="3"/>
  <c r="I198" i="3"/>
  <c r="I195" i="3"/>
  <c r="J201" i="3"/>
  <c r="F196" i="3"/>
  <c r="J197" i="3"/>
  <c r="G204" i="3"/>
  <c r="F198" i="3"/>
  <c r="G195" i="3"/>
  <c r="D195" i="3"/>
  <c r="G194" i="3"/>
  <c r="H194" i="3"/>
  <c r="F204" i="3"/>
  <c r="I200" i="3"/>
  <c r="G200" i="3"/>
  <c r="G192" i="3"/>
  <c r="E197" i="3"/>
  <c r="G196" i="3"/>
  <c r="I196" i="3"/>
  <c r="J206" i="3"/>
  <c r="H206" i="3"/>
  <c r="I205" i="3"/>
  <c r="J205" i="3"/>
  <c r="F201" i="3"/>
  <c r="G201" i="3"/>
  <c r="J198" i="3"/>
  <c r="J194" i="3"/>
  <c r="D194" i="3"/>
  <c r="I204" i="3"/>
  <c r="H204" i="3"/>
  <c r="D192" i="3"/>
  <c r="E192" i="3"/>
  <c r="I197" i="3"/>
  <c r="D197" i="3"/>
  <c r="D196" i="3"/>
  <c r="D206" i="3"/>
  <c r="D202" i="3"/>
  <c r="J202" i="3"/>
  <c r="F202" i="3"/>
  <c r="I202" i="3"/>
  <c r="G202" i="3"/>
  <c r="H202" i="3"/>
  <c r="E202" i="3"/>
  <c r="D205" i="3"/>
  <c r="G205" i="3"/>
  <c r="F205" i="3"/>
  <c r="E201" i="3"/>
  <c r="H195" i="3"/>
  <c r="F194" i="3"/>
  <c r="I194" i="3"/>
  <c r="J204" i="3"/>
  <c r="H200" i="3"/>
  <c r="J200" i="3"/>
  <c r="F200" i="3"/>
  <c r="I192" i="3"/>
  <c r="J192" i="3"/>
  <c r="G197" i="3"/>
  <c r="H196" i="3"/>
  <c r="F206" i="3"/>
  <c r="E206" i="3"/>
  <c r="E205" i="3"/>
  <c r="H201" i="3"/>
  <c r="D201" i="3"/>
  <c r="F195" i="3"/>
  <c r="F192" i="3"/>
  <c r="H197" i="3"/>
  <c r="F197" i="3"/>
  <c r="E196" i="3"/>
  <c r="J196" i="3"/>
  <c r="G206" i="3"/>
  <c r="H205" i="3"/>
  <c r="I201" i="3"/>
  <c r="N244" i="3" l="1"/>
  <c r="N234" i="3"/>
  <c r="M238" i="3"/>
  <c r="M249" i="3"/>
  <c r="N225" i="3"/>
  <c r="N243" i="3"/>
  <c r="N242" i="3"/>
  <c r="N241" i="3"/>
  <c r="N228" i="3"/>
  <c r="M232" i="3"/>
  <c r="M236" i="3"/>
  <c r="M235" i="3"/>
  <c r="N230" i="3"/>
  <c r="N224" i="3"/>
  <c r="N238" i="3"/>
  <c r="M230" i="3"/>
  <c r="N248" i="3"/>
  <c r="N222" i="3"/>
  <c r="M240" i="3"/>
  <c r="N233" i="3"/>
  <c r="M247" i="3"/>
  <c r="N232" i="3"/>
  <c r="M243" i="3"/>
  <c r="M239" i="3"/>
  <c r="N246" i="3"/>
  <c r="N247" i="3"/>
  <c r="N226" i="3"/>
  <c r="M241" i="3"/>
  <c r="M246" i="3"/>
  <c r="N240" i="3"/>
  <c r="M234" i="3"/>
  <c r="N231" i="3"/>
  <c r="M248" i="3"/>
  <c r="N235" i="3"/>
  <c r="N245" i="3"/>
  <c r="N249" i="3"/>
  <c r="N236" i="3"/>
  <c r="N223" i="3"/>
  <c r="M242" i="3"/>
  <c r="M237" i="3"/>
  <c r="N237" i="3"/>
  <c r="M231" i="3"/>
  <c r="M229" i="3"/>
  <c r="M244" i="3"/>
  <c r="N239" i="3"/>
  <c r="N229" i="3"/>
  <c r="N227" i="3"/>
  <c r="M245" i="3"/>
  <c r="M233" i="3"/>
  <c r="M226" i="3"/>
  <c r="M224" i="3"/>
  <c r="M228" i="3"/>
  <c r="M225" i="3"/>
  <c r="M223" i="3"/>
  <c r="M222" i="3"/>
  <c r="M227" i="3"/>
  <c r="Q167" i="3"/>
  <c r="P166" i="3"/>
  <c r="P162" i="3"/>
  <c r="P164" i="3"/>
  <c r="Q164" i="3"/>
  <c r="Q168" i="3"/>
  <c r="P165" i="3"/>
  <c r="Q162" i="3"/>
  <c r="P167" i="3"/>
  <c r="P163" i="3"/>
  <c r="Q163" i="3"/>
  <c r="Q166" i="3"/>
  <c r="Q165" i="3"/>
  <c r="P168" i="3"/>
  <c r="G210" i="3"/>
  <c r="H210" i="3" s="1"/>
  <c r="I210" i="3" s="1"/>
  <c r="J210" i="3" s="1"/>
  <c r="W141" i="3" s="1"/>
  <c r="R157" i="3"/>
  <c r="W140" i="3" l="1"/>
  <c r="W144" i="3"/>
  <c r="Q174" i="3"/>
  <c r="Q178" i="3"/>
  <c r="P174" i="3"/>
  <c r="W142" i="3"/>
  <c r="W139" i="3"/>
  <c r="R162" i="3"/>
  <c r="R138" i="3" s="1"/>
  <c r="P175" i="3"/>
  <c r="Q177" i="3"/>
  <c r="W143" i="3"/>
  <c r="W138" i="3"/>
  <c r="P178" i="3"/>
  <c r="P173" i="3"/>
  <c r="P176" i="3"/>
  <c r="Q176" i="3"/>
  <c r="Q175" i="3"/>
  <c r="P179" i="3"/>
  <c r="P177" i="3"/>
  <c r="Q173" i="3"/>
  <c r="Q179" i="3"/>
  <c r="R167" i="3"/>
  <c r="R143" i="3" s="1"/>
  <c r="R166" i="3"/>
  <c r="R142" i="3" s="1"/>
  <c r="R164" i="3"/>
  <c r="R140" i="3" s="1"/>
  <c r="R168" i="3"/>
  <c r="R144" i="3" s="1"/>
  <c r="R165" i="3"/>
  <c r="R141" i="3" s="1"/>
  <c r="R163" i="3"/>
  <c r="R139" i="3" s="1"/>
  <c r="R175" i="3" l="1"/>
  <c r="S140" i="3" s="1"/>
  <c r="P195" i="3" s="1"/>
  <c r="N21" i="3" s="1"/>
  <c r="R177" i="3"/>
  <c r="S142" i="3" s="1"/>
  <c r="P197" i="3" s="1"/>
  <c r="N23" i="3" s="1"/>
  <c r="R174" i="3"/>
  <c r="S139" i="3" s="1"/>
  <c r="P194" i="3" s="1"/>
  <c r="N20" i="3" s="1"/>
  <c r="R176" i="3"/>
  <c r="S141" i="3" s="1"/>
  <c r="P196" i="3" s="1"/>
  <c r="N22" i="3" s="1"/>
  <c r="R173" i="3"/>
  <c r="S138" i="3" s="1"/>
  <c r="P193" i="3" s="1"/>
  <c r="N19" i="3" s="1"/>
  <c r="R178" i="3"/>
  <c r="S143" i="3" s="1"/>
  <c r="P198" i="3" s="1"/>
  <c r="N24" i="3" s="1"/>
  <c r="R179" i="3"/>
  <c r="S144" i="3" s="1"/>
  <c r="P199" i="3" s="1"/>
  <c r="N25" i="3" s="1"/>
</calcChain>
</file>

<file path=xl/sharedStrings.xml><?xml version="1.0" encoding="utf-8"?>
<sst xmlns="http://schemas.openxmlformats.org/spreadsheetml/2006/main" count="543" uniqueCount="315">
  <si>
    <t>CD</t>
    <phoneticPr fontId="1" type="noConversion"/>
  </si>
  <si>
    <t>破防</t>
    <phoneticPr fontId="1" type="noConversion"/>
  </si>
  <si>
    <t>CD</t>
    <phoneticPr fontId="1" type="noConversion"/>
  </si>
  <si>
    <t>CD</t>
    <phoneticPr fontId="1" type="noConversion"/>
  </si>
  <si>
    <t>CD</t>
    <phoneticPr fontId="1" type="noConversion"/>
  </si>
  <si>
    <t>CD</t>
    <phoneticPr fontId="1" type="noConversion"/>
  </si>
  <si>
    <t>CD</t>
    <phoneticPr fontId="1" type="noConversion"/>
  </si>
  <si>
    <t xml:space="preserve">   </t>
    <phoneticPr fontId="1" type="noConversion"/>
  </si>
  <si>
    <t xml:space="preserve">    </t>
    <phoneticPr fontId="1" type="noConversion"/>
  </si>
  <si>
    <t>无</t>
  </si>
  <si>
    <t>万世</t>
  </si>
  <si>
    <t>白虹</t>
  </si>
  <si>
    <t>抱元守缺</t>
  </si>
  <si>
    <t>太极</t>
  </si>
  <si>
    <t>加速</t>
    <phoneticPr fontId="1" type="noConversion"/>
  </si>
  <si>
    <t>万物</t>
  </si>
  <si>
    <t>跬步</t>
  </si>
  <si>
    <t>气竭</t>
  </si>
  <si>
    <t>96木桩</t>
  </si>
  <si>
    <t>97木桩</t>
  </si>
  <si>
    <t>98木桩</t>
  </si>
  <si>
    <t>裸属性</t>
    <phoneticPr fontId="1" type="noConversion"/>
  </si>
  <si>
    <t>根骨</t>
    <phoneticPr fontId="1" type="noConversion"/>
  </si>
  <si>
    <t>面板攻击</t>
    <phoneticPr fontId="1" type="noConversion"/>
  </si>
  <si>
    <t>命中</t>
    <phoneticPr fontId="1" type="noConversion"/>
  </si>
  <si>
    <t>会心</t>
    <phoneticPr fontId="1" type="noConversion"/>
  </si>
  <si>
    <t>会效</t>
    <phoneticPr fontId="1" type="noConversion"/>
  </si>
  <si>
    <t>无双</t>
    <phoneticPr fontId="1" type="noConversion"/>
  </si>
  <si>
    <t>延迟</t>
    <phoneticPr fontId="1" type="noConversion"/>
  </si>
  <si>
    <t>太极</t>
    <phoneticPr fontId="1" type="noConversion"/>
  </si>
  <si>
    <t>四象</t>
    <phoneticPr fontId="1" type="noConversion"/>
  </si>
  <si>
    <t>奇穴</t>
    <phoneticPr fontId="1" type="noConversion"/>
  </si>
  <si>
    <t>第一重</t>
    <phoneticPr fontId="1" type="noConversion"/>
  </si>
  <si>
    <t>第二重</t>
    <phoneticPr fontId="1" type="noConversion"/>
  </si>
  <si>
    <t>第三重</t>
    <phoneticPr fontId="1" type="noConversion"/>
  </si>
  <si>
    <t>第四重</t>
    <phoneticPr fontId="1" type="noConversion"/>
  </si>
  <si>
    <t>第五重</t>
    <phoneticPr fontId="1" type="noConversion"/>
  </si>
  <si>
    <t>第六重</t>
    <phoneticPr fontId="1" type="noConversion"/>
  </si>
  <si>
    <t>第七重</t>
    <phoneticPr fontId="1" type="noConversion"/>
  </si>
  <si>
    <t>第八重</t>
    <phoneticPr fontId="1" type="noConversion"/>
  </si>
  <si>
    <t>第九重</t>
    <phoneticPr fontId="1" type="noConversion"/>
  </si>
  <si>
    <t>第十重</t>
    <phoneticPr fontId="1" type="noConversion"/>
  </si>
  <si>
    <t>第十一重</t>
    <phoneticPr fontId="1" type="noConversion"/>
  </si>
  <si>
    <t>第十二重</t>
    <phoneticPr fontId="1" type="noConversion"/>
  </si>
  <si>
    <t>根骨</t>
    <phoneticPr fontId="1" type="noConversion"/>
  </si>
  <si>
    <t>元气</t>
    <phoneticPr fontId="1" type="noConversion"/>
  </si>
  <si>
    <t>命中</t>
    <phoneticPr fontId="1" type="noConversion"/>
  </si>
  <si>
    <t>破防</t>
    <phoneticPr fontId="1" type="noConversion"/>
  </si>
  <si>
    <t>会心</t>
    <phoneticPr fontId="1" type="noConversion"/>
  </si>
  <si>
    <t>两仪</t>
    <phoneticPr fontId="1" type="noConversion"/>
  </si>
  <si>
    <t>剑出鸿蒙</t>
  </si>
  <si>
    <t>阵法</t>
    <phoneticPr fontId="1" type="noConversion"/>
  </si>
  <si>
    <t>攻击</t>
    <phoneticPr fontId="1" type="noConversion"/>
  </si>
  <si>
    <t>会效</t>
    <phoneticPr fontId="1" type="noConversion"/>
  </si>
  <si>
    <t>无双</t>
    <phoneticPr fontId="1" type="noConversion"/>
  </si>
  <si>
    <t>秘籍</t>
    <phoneticPr fontId="1" type="noConversion"/>
  </si>
  <si>
    <t>读条</t>
    <phoneticPr fontId="1" type="noConversion"/>
  </si>
  <si>
    <t>伤害</t>
    <phoneticPr fontId="1" type="noConversion"/>
  </si>
  <si>
    <t>气点</t>
    <phoneticPr fontId="1" type="noConversion"/>
  </si>
  <si>
    <t>四象</t>
  </si>
  <si>
    <t>增益</t>
    <phoneticPr fontId="1" type="noConversion"/>
  </si>
  <si>
    <t>紫气</t>
    <phoneticPr fontId="1" type="noConversion"/>
  </si>
  <si>
    <t>破苍穹</t>
    <phoneticPr fontId="1" type="noConversion"/>
  </si>
  <si>
    <t>噬骨</t>
    <phoneticPr fontId="1" type="noConversion"/>
  </si>
  <si>
    <t>袖气</t>
    <phoneticPr fontId="1" type="noConversion"/>
  </si>
  <si>
    <t>蒸鱼菜盘</t>
    <phoneticPr fontId="1" type="noConversion"/>
  </si>
  <si>
    <t>金刚怒目</t>
    <phoneticPr fontId="1" type="noConversion"/>
  </si>
  <si>
    <t>蛇影枯残</t>
    <phoneticPr fontId="1" type="noConversion"/>
  </si>
  <si>
    <t>明教T</t>
    <phoneticPr fontId="1" type="noConversion"/>
  </si>
  <si>
    <t>明教T大附魔</t>
    <phoneticPr fontId="1" type="noConversion"/>
  </si>
  <si>
    <t>冰心大附魔</t>
    <phoneticPr fontId="1" type="noConversion"/>
  </si>
  <si>
    <t>长歌大附魔</t>
    <phoneticPr fontId="1" type="noConversion"/>
  </si>
  <si>
    <t>输出循环</t>
    <phoneticPr fontId="1" type="noConversion"/>
  </si>
  <si>
    <t>循   环</t>
    <phoneticPr fontId="1" type="noConversion"/>
  </si>
  <si>
    <t>无形</t>
  </si>
  <si>
    <t>霜锋</t>
  </si>
  <si>
    <t>破苍穹</t>
  </si>
  <si>
    <t>期声</t>
  </si>
  <si>
    <t>抱阳</t>
  </si>
  <si>
    <t>时间</t>
    <phoneticPr fontId="1" type="noConversion"/>
  </si>
  <si>
    <t>噬骨</t>
    <phoneticPr fontId="1" type="noConversion"/>
  </si>
  <si>
    <t>抱元守缺</t>
    <phoneticPr fontId="1" type="noConversion"/>
  </si>
  <si>
    <t>补太极</t>
    <phoneticPr fontId="1" type="noConversion"/>
  </si>
  <si>
    <t>战斗时间</t>
    <phoneticPr fontId="1" type="noConversion"/>
  </si>
  <si>
    <t>套装:攻击10%</t>
    <phoneticPr fontId="1" type="noConversion"/>
  </si>
  <si>
    <t>套装:万世10%</t>
    <phoneticPr fontId="1" type="noConversion"/>
  </si>
  <si>
    <t>金刚怒目</t>
    <phoneticPr fontId="1" type="noConversion"/>
  </si>
  <si>
    <t>蛇影枯残</t>
    <phoneticPr fontId="1" type="noConversion"/>
  </si>
  <si>
    <t>明教T</t>
    <phoneticPr fontId="1" type="noConversion"/>
  </si>
  <si>
    <t>明教T大附魔</t>
    <phoneticPr fontId="1" type="noConversion"/>
  </si>
  <si>
    <t>冰心大附魔</t>
    <phoneticPr fontId="1" type="noConversion"/>
  </si>
  <si>
    <t>长歌大附魔</t>
    <phoneticPr fontId="1" type="noConversion"/>
  </si>
  <si>
    <t>起手一</t>
    <phoneticPr fontId="1" type="noConversion"/>
  </si>
  <si>
    <t>两仪</t>
  </si>
  <si>
    <t>读条/公CD</t>
    <phoneticPr fontId="1" type="noConversion"/>
  </si>
  <si>
    <t>起手二</t>
    <phoneticPr fontId="1" type="noConversion"/>
  </si>
  <si>
    <t>万世一层</t>
    <phoneticPr fontId="1" type="noConversion"/>
  </si>
  <si>
    <t>起手三</t>
    <phoneticPr fontId="1" type="noConversion"/>
  </si>
  <si>
    <t>万世2层</t>
  </si>
  <si>
    <t>万世3层</t>
  </si>
  <si>
    <t>套装万世10%</t>
  </si>
  <si>
    <t>返回值</t>
    <phoneticPr fontId="1" type="noConversion"/>
  </si>
  <si>
    <t>元气</t>
    <phoneticPr fontId="1" type="noConversion"/>
  </si>
  <si>
    <t>基础攻击</t>
    <phoneticPr fontId="1" type="noConversion"/>
  </si>
  <si>
    <t>攻击%</t>
    <phoneticPr fontId="1" type="noConversion"/>
  </si>
  <si>
    <t>命中%</t>
    <phoneticPr fontId="1" type="noConversion"/>
  </si>
  <si>
    <t>会心%</t>
    <phoneticPr fontId="1" type="noConversion"/>
  </si>
  <si>
    <t>会效%</t>
    <phoneticPr fontId="1" type="noConversion"/>
  </si>
  <si>
    <t>无双%</t>
    <phoneticPr fontId="1" type="noConversion"/>
  </si>
  <si>
    <t>破防%</t>
    <phoneticPr fontId="1" type="noConversion"/>
  </si>
  <si>
    <t>伤害%</t>
    <phoneticPr fontId="1" type="noConversion"/>
  </si>
  <si>
    <t>套装10%攻击</t>
    <phoneticPr fontId="1" type="noConversion"/>
  </si>
  <si>
    <t>万蛊噬心阵</t>
    <phoneticPr fontId="1" type="noConversion"/>
  </si>
  <si>
    <t>七绝逍遥阵</t>
    <phoneticPr fontId="1" type="noConversion"/>
  </si>
  <si>
    <t>九宫八卦阵</t>
    <phoneticPr fontId="1" type="noConversion"/>
  </si>
  <si>
    <t>天鼓雷音阵</t>
    <phoneticPr fontId="1" type="noConversion"/>
  </si>
  <si>
    <t>自定增益属性</t>
    <phoneticPr fontId="1" type="noConversion"/>
  </si>
  <si>
    <t>属性</t>
    <phoneticPr fontId="1" type="noConversion"/>
  </si>
  <si>
    <t>1点根骨</t>
    <phoneticPr fontId="1" type="noConversion"/>
  </si>
  <si>
    <t>1点元气</t>
    <phoneticPr fontId="1" type="noConversion"/>
  </si>
  <si>
    <t>换算</t>
    <phoneticPr fontId="1" type="noConversion"/>
  </si>
  <si>
    <t>根骨</t>
    <phoneticPr fontId="1" type="noConversion"/>
  </si>
  <si>
    <t>面板攻击</t>
    <phoneticPr fontId="1" type="noConversion"/>
  </si>
  <si>
    <t>命中</t>
    <phoneticPr fontId="1" type="noConversion"/>
  </si>
  <si>
    <t>基础攻击</t>
    <phoneticPr fontId="1" type="noConversion"/>
  </si>
  <si>
    <t>会心</t>
    <phoneticPr fontId="1" type="noConversion"/>
  </si>
  <si>
    <t>基础破防</t>
    <phoneticPr fontId="1" type="noConversion"/>
  </si>
  <si>
    <t>会效</t>
    <phoneticPr fontId="1" type="noConversion"/>
  </si>
  <si>
    <t>命中</t>
  </si>
  <si>
    <t>会心</t>
    <phoneticPr fontId="1" type="noConversion"/>
  </si>
  <si>
    <t>无双</t>
    <phoneticPr fontId="1" type="noConversion"/>
  </si>
  <si>
    <t>会心</t>
  </si>
  <si>
    <t>会效</t>
  </si>
  <si>
    <t>破防</t>
  </si>
  <si>
    <t>无双</t>
  </si>
  <si>
    <t>加速</t>
  </si>
  <si>
    <t>两仪0.5</t>
    <phoneticPr fontId="1" type="noConversion"/>
  </si>
  <si>
    <t>两仪5</t>
    <phoneticPr fontId="1" type="noConversion"/>
  </si>
  <si>
    <t>万世一层</t>
  </si>
  <si>
    <t>剑出</t>
  </si>
  <si>
    <t>三才</t>
  </si>
  <si>
    <t>六合</t>
  </si>
  <si>
    <t>1.5GCD加速</t>
    <phoneticPr fontId="1" type="noConversion"/>
  </si>
  <si>
    <t>加成</t>
    <phoneticPr fontId="1" type="noConversion"/>
  </si>
  <si>
    <t>等级</t>
    <phoneticPr fontId="1" type="noConversion"/>
  </si>
  <si>
    <t>合计</t>
    <phoneticPr fontId="1" type="noConversion"/>
  </si>
  <si>
    <t xml:space="preserve"> 读条时间</t>
    <phoneticPr fontId="1" type="noConversion"/>
  </si>
  <si>
    <t>延迟合计</t>
    <phoneticPr fontId="1" type="noConversion"/>
  </si>
  <si>
    <t>加速提升</t>
    <phoneticPr fontId="1" type="noConversion"/>
  </si>
  <si>
    <t>固定值</t>
    <phoneticPr fontId="1" type="noConversion"/>
  </si>
  <si>
    <t>技能系数</t>
    <phoneticPr fontId="1" type="noConversion"/>
  </si>
  <si>
    <t>气竭加速</t>
    <phoneticPr fontId="1" type="noConversion"/>
  </si>
  <si>
    <t>每跳时间</t>
    <phoneticPr fontId="1" type="noConversion"/>
  </si>
  <si>
    <t>减读条</t>
    <phoneticPr fontId="1" type="noConversion"/>
  </si>
  <si>
    <t>读条/公CD</t>
    <phoneticPr fontId="1" type="noConversion"/>
  </si>
  <si>
    <t>减CD</t>
    <phoneticPr fontId="1" type="noConversion"/>
  </si>
  <si>
    <t>1.5S加速表</t>
    <phoneticPr fontId="1" type="noConversion"/>
  </si>
  <si>
    <t>增加气点</t>
    <phoneticPr fontId="1" type="noConversion"/>
  </si>
  <si>
    <t>加速等级</t>
    <phoneticPr fontId="1" type="noConversion"/>
  </si>
  <si>
    <t>加速率</t>
    <phoneticPr fontId="1" type="noConversion"/>
  </si>
  <si>
    <t>时间</t>
    <phoneticPr fontId="1" type="noConversion"/>
  </si>
  <si>
    <t>减少气点</t>
    <phoneticPr fontId="1" type="noConversion"/>
  </si>
  <si>
    <t>目标等级</t>
    <phoneticPr fontId="1" type="noConversion"/>
  </si>
  <si>
    <t>无双</t>
    <phoneticPr fontId="1" type="noConversion"/>
  </si>
  <si>
    <t>防御值</t>
    <phoneticPr fontId="1" type="noConversion"/>
  </si>
  <si>
    <t>96木桩</t>
    <phoneticPr fontId="1" type="noConversion"/>
  </si>
  <si>
    <t>97木桩</t>
    <phoneticPr fontId="1" type="noConversion"/>
  </si>
  <si>
    <t>98木桩</t>
    <phoneticPr fontId="1" type="noConversion"/>
  </si>
  <si>
    <t>3S加速表</t>
    <phoneticPr fontId="1" type="noConversion"/>
  </si>
  <si>
    <t>技能伤害</t>
    <phoneticPr fontId="1" type="noConversion"/>
  </si>
  <si>
    <t>太极</t>
    <phoneticPr fontId="1" type="noConversion"/>
  </si>
  <si>
    <t>无</t>
    <phoneticPr fontId="1" type="noConversion"/>
  </si>
  <si>
    <t>96木桩</t>
    <phoneticPr fontId="1" type="noConversion"/>
  </si>
  <si>
    <t>97木桩</t>
    <phoneticPr fontId="1" type="noConversion"/>
  </si>
  <si>
    <t>98木桩</t>
    <phoneticPr fontId="1" type="noConversion"/>
  </si>
  <si>
    <t>DPS结算</t>
    <phoneticPr fontId="1" type="noConversion"/>
  </si>
  <si>
    <t>战斗时间</t>
    <phoneticPr fontId="1" type="noConversion"/>
  </si>
  <si>
    <t>循环时间</t>
    <phoneticPr fontId="1" type="noConversion"/>
  </si>
  <si>
    <t xml:space="preserve"> 起手一</t>
    <phoneticPr fontId="1" type="noConversion"/>
  </si>
  <si>
    <t>气竭时间</t>
    <phoneticPr fontId="1" type="noConversion"/>
  </si>
  <si>
    <t>总计</t>
    <phoneticPr fontId="1" type="noConversion"/>
  </si>
  <si>
    <t>剑出伤害</t>
    <phoneticPr fontId="1" type="noConversion"/>
  </si>
  <si>
    <t>太极替换四象伤害</t>
    <phoneticPr fontId="1" type="noConversion"/>
  </si>
  <si>
    <t>破苍穹替换四象</t>
    <phoneticPr fontId="1" type="noConversion"/>
  </si>
  <si>
    <t xml:space="preserve"> 起手二</t>
    <phoneticPr fontId="1" type="noConversion"/>
  </si>
  <si>
    <t>剑出计算</t>
    <phoneticPr fontId="1" type="noConversion"/>
  </si>
  <si>
    <t>总使用次数</t>
    <phoneticPr fontId="1" type="noConversion"/>
  </si>
  <si>
    <t>剑出总冷却时间</t>
    <phoneticPr fontId="1" type="noConversion"/>
  </si>
  <si>
    <t>太极计算</t>
    <phoneticPr fontId="1" type="noConversion"/>
  </si>
  <si>
    <t>buff持续时间</t>
    <phoneticPr fontId="1" type="noConversion"/>
  </si>
  <si>
    <t>补DOT时间</t>
    <phoneticPr fontId="1" type="noConversion"/>
  </si>
  <si>
    <t>去起手输出次数</t>
    <phoneticPr fontId="1" type="noConversion"/>
  </si>
  <si>
    <t>韬光计算</t>
    <phoneticPr fontId="1" type="noConversion"/>
  </si>
  <si>
    <t>持续时间</t>
    <phoneticPr fontId="1" type="noConversion"/>
  </si>
  <si>
    <t>抱元计算</t>
    <phoneticPr fontId="1" type="noConversion"/>
  </si>
  <si>
    <t>次数</t>
    <phoneticPr fontId="1" type="noConversion"/>
  </si>
  <si>
    <t xml:space="preserve"> 起手三</t>
    <phoneticPr fontId="1" type="noConversion"/>
  </si>
  <si>
    <t>破苍穹计算</t>
    <phoneticPr fontId="1" type="noConversion"/>
  </si>
  <si>
    <t>不足循环计算</t>
    <phoneticPr fontId="1" type="noConversion"/>
  </si>
  <si>
    <t>不足循环时间</t>
    <phoneticPr fontId="1" type="noConversion"/>
  </si>
  <si>
    <t>额外技能数</t>
    <phoneticPr fontId="1" type="noConversion"/>
  </si>
  <si>
    <t>额外计算公式</t>
    <phoneticPr fontId="1" type="noConversion"/>
  </si>
  <si>
    <t>覆盖时间</t>
    <phoneticPr fontId="1" type="noConversion"/>
  </si>
  <si>
    <t xml:space="preserve"> 覆盖循环数</t>
    <phoneticPr fontId="1" type="noConversion"/>
  </si>
  <si>
    <t>额外时间</t>
    <phoneticPr fontId="1" type="noConversion"/>
  </si>
  <si>
    <t>循环</t>
    <phoneticPr fontId="1" type="noConversion"/>
  </si>
  <si>
    <t>两仪0.5</t>
  </si>
  <si>
    <t>技能次数</t>
    <phoneticPr fontId="1" type="noConversion"/>
  </si>
  <si>
    <t>循环数</t>
    <phoneticPr fontId="1" type="noConversion"/>
  </si>
  <si>
    <t>万事</t>
    <phoneticPr fontId="1" type="noConversion"/>
  </si>
  <si>
    <t>剑出</t>
    <phoneticPr fontId="1" type="noConversion"/>
  </si>
  <si>
    <t>气接</t>
    <phoneticPr fontId="1" type="noConversion"/>
  </si>
  <si>
    <t>时间轴</t>
    <phoneticPr fontId="1" type="noConversion"/>
  </si>
  <si>
    <t>增益持续时间=quotent：商(总时间（爆发去起手）,CD)*持续时间+MIN：2者最小（MOD：余数(总时间（爆发去起手）,CD),持续时间）</t>
    <phoneticPr fontId="1" type="noConversion"/>
  </si>
  <si>
    <t>韬光两仪(爆发状态)</t>
    <phoneticPr fontId="1" type="noConversion"/>
  </si>
  <si>
    <t>延迟+手速</t>
    <phoneticPr fontId="1" type="noConversion"/>
  </si>
  <si>
    <t>加速提升</t>
    <phoneticPr fontId="1" type="noConversion"/>
  </si>
  <si>
    <t>否</t>
  </si>
  <si>
    <t>技能系数调用</t>
    <phoneticPr fontId="1" type="noConversion"/>
  </si>
  <si>
    <t>增益调用</t>
    <phoneticPr fontId="1" type="noConversion"/>
  </si>
  <si>
    <t>加速调用</t>
    <phoneticPr fontId="1" type="noConversion"/>
  </si>
  <si>
    <t>无紫气平均属性</t>
    <phoneticPr fontId="1" type="noConversion"/>
  </si>
  <si>
    <t>紫气阶段输出</t>
    <phoneticPr fontId="1" type="noConversion"/>
  </si>
  <si>
    <t>无紫气对比</t>
    <phoneticPr fontId="1" type="noConversion"/>
  </si>
  <si>
    <t>万事特殊伤害</t>
    <phoneticPr fontId="1" type="noConversion"/>
  </si>
  <si>
    <t>爆发阶段增加伤害</t>
    <phoneticPr fontId="1" type="noConversion"/>
  </si>
  <si>
    <t>紫气阶段循环伤害</t>
    <phoneticPr fontId="1" type="noConversion"/>
  </si>
  <si>
    <t>不足循环技能次数</t>
    <phoneticPr fontId="1" type="noConversion"/>
  </si>
  <si>
    <t>循环伤害</t>
    <phoneticPr fontId="1" type="noConversion"/>
  </si>
  <si>
    <t>紫气阶段技能伤害</t>
    <phoneticPr fontId="1" type="noConversion"/>
  </si>
  <si>
    <t>不足循环伤害</t>
    <phoneticPr fontId="1" type="noConversion"/>
  </si>
  <si>
    <t>紫气阶段不足循环伤害</t>
    <phoneticPr fontId="1" type="noConversion"/>
  </si>
  <si>
    <t>木桩数据</t>
    <phoneticPr fontId="1" type="noConversion"/>
  </si>
  <si>
    <t>破防加成</t>
    <phoneticPr fontId="1" type="noConversion"/>
  </si>
  <si>
    <t>技能识破</t>
    <phoneticPr fontId="1" type="noConversion"/>
  </si>
  <si>
    <t>没卵用的未命中</t>
    <phoneticPr fontId="1" type="noConversion"/>
  </si>
  <si>
    <t>减伤计算</t>
    <phoneticPr fontId="1" type="noConversion"/>
  </si>
  <si>
    <t>数值结算</t>
    <phoneticPr fontId="1" type="noConversion"/>
  </si>
  <si>
    <t>紫气属性</t>
    <phoneticPr fontId="1" type="noConversion"/>
  </si>
  <si>
    <t>万世</t>
    <phoneticPr fontId="1" type="noConversion"/>
  </si>
  <si>
    <t>紫气阶段计算</t>
    <phoneticPr fontId="1" type="noConversion"/>
  </si>
  <si>
    <t>增加四象时间</t>
    <phoneticPr fontId="1" type="noConversion"/>
  </si>
  <si>
    <t>挤掉循环数</t>
    <phoneticPr fontId="1" type="noConversion"/>
  </si>
  <si>
    <t>挤掉额外技能数</t>
    <phoneticPr fontId="1" type="noConversion"/>
  </si>
  <si>
    <t>气竭计算</t>
    <phoneticPr fontId="1" type="noConversion"/>
  </si>
  <si>
    <t>气竭总计</t>
    <phoneticPr fontId="1" type="noConversion"/>
  </si>
  <si>
    <t>三层数量</t>
    <phoneticPr fontId="1" type="noConversion"/>
  </si>
  <si>
    <t>二层数量</t>
    <phoneticPr fontId="1" type="noConversion"/>
  </si>
  <si>
    <t>一层数量</t>
    <phoneticPr fontId="1" type="noConversion"/>
  </si>
  <si>
    <t>伤害计算</t>
    <phoneticPr fontId="1" type="noConversion"/>
  </si>
  <si>
    <t>三层</t>
    <phoneticPr fontId="1" type="noConversion"/>
  </si>
  <si>
    <t>一层</t>
    <phoneticPr fontId="1" type="noConversion"/>
  </si>
  <si>
    <t>二层</t>
    <phoneticPr fontId="1" type="noConversion"/>
  </si>
  <si>
    <t>紫气阶段气竭数量</t>
    <phoneticPr fontId="1" type="noConversion"/>
  </si>
  <si>
    <t>气竭紫气阶段伤害增加</t>
    <phoneticPr fontId="1" type="noConversion"/>
  </si>
  <si>
    <t>紫气阶段技能伤害增加</t>
    <phoneticPr fontId="1" type="noConversion"/>
  </si>
  <si>
    <t>抱元损失两仪</t>
    <phoneticPr fontId="1" type="noConversion"/>
  </si>
  <si>
    <t>抱元影响循环后伤害</t>
    <phoneticPr fontId="1" type="noConversion"/>
  </si>
  <si>
    <t>抱元额外技能次数</t>
    <phoneticPr fontId="1" type="noConversion"/>
  </si>
  <si>
    <t>两仪+0.5秘籍</t>
    <phoneticPr fontId="1" type="noConversion"/>
  </si>
  <si>
    <t>普通攻击</t>
    <phoneticPr fontId="1" type="noConversion"/>
  </si>
  <si>
    <t>未命中</t>
    <phoneticPr fontId="1" type="noConversion"/>
  </si>
  <si>
    <t>会心</t>
    <phoneticPr fontId="1" type="noConversion"/>
  </si>
  <si>
    <t>四象+心固</t>
    <phoneticPr fontId="1" type="noConversion"/>
  </si>
  <si>
    <t>四象</t>
    <phoneticPr fontId="1" type="noConversion"/>
  </si>
  <si>
    <t>两仪</t>
    <phoneticPr fontId="1" type="noConversion"/>
  </si>
  <si>
    <t>太极</t>
    <phoneticPr fontId="1" type="noConversion"/>
  </si>
  <si>
    <t>太极+奇穴</t>
    <phoneticPr fontId="1" type="noConversion"/>
  </si>
  <si>
    <t>技能释放增加气点</t>
    <phoneticPr fontId="1" type="noConversion"/>
  </si>
  <si>
    <t>紫霞内功每秒0.5个</t>
    <phoneticPr fontId="1" type="noConversion"/>
  </si>
  <si>
    <t>96木桩</t>
    <phoneticPr fontId="1" type="noConversion"/>
  </si>
  <si>
    <t>覆盖时间</t>
    <phoneticPr fontId="1" type="noConversion"/>
  </si>
  <si>
    <t>破苍穹次数</t>
    <phoneticPr fontId="1" type="noConversion"/>
  </si>
  <si>
    <t>替换两仪次数</t>
    <phoneticPr fontId="1" type="noConversion"/>
  </si>
  <si>
    <t>韬光</t>
    <phoneticPr fontId="1" type="noConversion"/>
  </si>
  <si>
    <t>卡紫气</t>
    <phoneticPr fontId="1" type="noConversion"/>
  </si>
  <si>
    <t>邪教不打太极</t>
    <phoneticPr fontId="1" type="noConversion"/>
  </si>
  <si>
    <t>抱元对不计入循环伤害影响</t>
    <phoneticPr fontId="1" type="noConversion"/>
  </si>
  <si>
    <t>卡紫气伤害</t>
    <phoneticPr fontId="1" type="noConversion"/>
  </si>
  <si>
    <t>技能次数</t>
    <phoneticPr fontId="1" type="noConversion"/>
  </si>
  <si>
    <t>总计</t>
    <phoneticPr fontId="1" type="noConversion"/>
  </si>
  <si>
    <t>技能次数</t>
    <phoneticPr fontId="1" type="noConversion"/>
  </si>
  <si>
    <t>常态不足循环伤害</t>
    <phoneticPr fontId="1" type="noConversion"/>
  </si>
  <si>
    <t>结算</t>
    <phoneticPr fontId="1" type="noConversion"/>
  </si>
  <si>
    <t>气街伤害</t>
    <phoneticPr fontId="1" type="noConversion"/>
  </si>
  <si>
    <t>循环数量</t>
    <phoneticPr fontId="1" type="noConversion"/>
  </si>
  <si>
    <t>卡紫气阶段气竭数量</t>
    <phoneticPr fontId="1" type="noConversion"/>
  </si>
  <si>
    <t>卡紫气阶段计算</t>
    <phoneticPr fontId="1" type="noConversion"/>
  </si>
  <si>
    <t>伤害计算</t>
    <phoneticPr fontId="1" type="noConversion"/>
  </si>
  <si>
    <t>常规阶段对比</t>
    <phoneticPr fontId="1" type="noConversion"/>
  </si>
  <si>
    <r>
      <t>小吃/魔石</t>
    </r>
    <r>
      <rPr>
        <b/>
        <sz val="9"/>
        <color theme="0"/>
        <rFont val="Arial Unicode MS"/>
        <family val="2"/>
        <charset val="134"/>
      </rPr>
      <t/>
    </r>
    <phoneticPr fontId="1" type="noConversion"/>
  </si>
  <si>
    <t>无紫气对比</t>
    <phoneticPr fontId="1" type="noConversion"/>
  </si>
  <si>
    <t>卡紫气技能伤害增加</t>
    <phoneticPr fontId="1" type="noConversion"/>
  </si>
  <si>
    <t>卡紫气阶段输出</t>
    <phoneticPr fontId="1" type="noConversion"/>
  </si>
  <si>
    <t>卡紫气气街伤害增加</t>
    <phoneticPr fontId="1" type="noConversion"/>
  </si>
  <si>
    <t>覆盖时间</t>
    <phoneticPr fontId="1" type="noConversion"/>
  </si>
  <si>
    <t>循环</t>
    <phoneticPr fontId="1" type="noConversion"/>
  </si>
  <si>
    <t>卡紫气增加伤害</t>
    <phoneticPr fontId="1" type="noConversion"/>
  </si>
  <si>
    <t>25风雷</t>
  </si>
  <si>
    <t>25风雷</t>
    <phoneticPr fontId="1" type="noConversion"/>
  </si>
  <si>
    <t>25风雷</t>
    <phoneticPr fontId="1" type="noConversion"/>
  </si>
  <si>
    <t>目标1</t>
  </si>
  <si>
    <t>目标1</t>
    <phoneticPr fontId="1" type="noConversion"/>
  </si>
  <si>
    <t>目标2</t>
  </si>
  <si>
    <t>目标2</t>
    <phoneticPr fontId="1" type="noConversion"/>
  </si>
  <si>
    <t>目标3</t>
  </si>
  <si>
    <t>目标3</t>
    <phoneticPr fontId="1" type="noConversion"/>
  </si>
  <si>
    <t>自定目标</t>
    <phoneticPr fontId="1" type="noConversion"/>
  </si>
  <si>
    <t>等级</t>
    <phoneticPr fontId="1" type="noConversion"/>
  </si>
  <si>
    <t>命中</t>
    <phoneticPr fontId="1" type="noConversion"/>
  </si>
  <si>
    <t>无双</t>
    <phoneticPr fontId="1" type="noConversion"/>
  </si>
  <si>
    <t>防御值</t>
    <phoneticPr fontId="1" type="noConversion"/>
  </si>
  <si>
    <t>目标3</t>
    <phoneticPr fontId="1" type="noConversion"/>
  </si>
  <si>
    <r>
      <rPr>
        <b/>
        <sz val="8"/>
        <color rgb="FFFF0000"/>
        <rFont val="微软雅黑"/>
        <family val="2"/>
        <charset val="134"/>
      </rPr>
      <t>输出循环：</t>
    </r>
    <r>
      <rPr>
        <b/>
        <sz val="8"/>
        <color rgb="FF7030A0"/>
        <rFont val="微软雅黑"/>
        <family val="2"/>
        <charset val="134"/>
      </rPr>
      <t xml:space="preserve">下拉框自选。循环为万世+技能*n，三层万世后进入稳定循环，稳定循环无太极，同气竭/剑会参与最终计算。时间栏文字红色表示释放万世接4技能后CD仍在冷却，需继续选择技能。（注：1、技能释放能量是否足够需自行判断。2、两仪默认最高质量。3、加速是根据起手中释放的太极判定，邪教起手不要选择太极。）
                                                               </t>
    </r>
    <r>
      <rPr>
        <b/>
        <sz val="8"/>
        <color rgb="FFFF0000"/>
        <rFont val="微软雅黑"/>
        <family val="2"/>
        <charset val="134"/>
      </rPr>
      <t>by:双梦—他化</t>
    </r>
    <phoneticPr fontId="1" type="noConversion"/>
  </si>
  <si>
    <t>使用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</si>
</sst>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8">
    <numFmt numFmtId="176" formatCode="0.00_ "/>
    <numFmt numFmtId="177" formatCode="0.0%"/>
    <numFmt numFmtId="178" formatCode="#####&quot;ms&quot;"/>
    <numFmt numFmtId="179" formatCode="#####&quot;S&quot;"/>
    <numFmt numFmtId="180" formatCode="0.00_);[Red]\(0.00\)"/>
    <numFmt numFmtId="181" formatCode="0.0000_);[Red]\(0.0000\)"/>
    <numFmt numFmtId="182" formatCode="#,##0.0000_);[Red]\(#,##0.0000\)"/>
    <numFmt numFmtId="183" formatCode="0.0000_ "/>
    <numFmt numFmtId="184" formatCode="0.000_);[Red]\(0.000\)"/>
    <numFmt numFmtId="185" formatCode="0.0_ "/>
    <numFmt numFmtId="186" formatCode="0_ "/>
    <numFmt numFmtId="187" formatCode="#,##0.000_);[Red]\(#,##0.000\)"/>
    <numFmt numFmtId="188" formatCode="#,##0.000_ ;[Red]\-#,##0.000\ "/>
    <numFmt numFmtId="189" formatCode="&quot;小于&quot;##&quot;秒&quot;"/>
    <numFmt numFmtId="190" formatCode="0.000_ "/>
    <numFmt numFmtId="191" formatCode="0_);[Red]\(0\)"/>
    <numFmt numFmtId="192" formatCode="0_ ;[Red]\-0\ "/>
    <numFmt numFmtId="193" formatCode="0.0000%"/>
  </numFmts>
  <fonts count="47" x14ac:knownFonts="1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b/>
      <sz val="9"/>
      <color theme="0"/>
      <name val="Arial Unicode MS"/>
      <family val="2"/>
      <charset val="134"/>
    </font>
    <font>
      <b/>
      <sz val="9"/>
      <color theme="1"/>
      <name val="微软雅黑"/>
      <family val="2"/>
      <charset val="134"/>
    </font>
    <font>
      <sz val="9"/>
      <color theme="1"/>
      <name val="微软雅黑"/>
      <family val="2"/>
      <charset val="134"/>
    </font>
    <font>
      <sz val="9"/>
      <name val="微软雅黑"/>
      <family val="2"/>
      <charset val="134"/>
    </font>
    <font>
      <b/>
      <sz val="9"/>
      <color theme="0"/>
      <name val="微软雅黑"/>
      <family val="2"/>
      <charset val="134"/>
    </font>
    <font>
      <sz val="9"/>
      <color theme="1" tint="0.499984740745262"/>
      <name val="微软雅黑"/>
      <family val="2"/>
      <charset val="134"/>
    </font>
    <font>
      <b/>
      <sz val="9"/>
      <color theme="0" tint="-0.499984740745262"/>
      <name val="微软雅黑"/>
      <family val="2"/>
      <charset val="134"/>
    </font>
    <font>
      <b/>
      <sz val="9"/>
      <color rgb="FF00B0F0"/>
      <name val="微软雅黑"/>
      <family val="2"/>
      <charset val="134"/>
    </font>
    <font>
      <b/>
      <sz val="9"/>
      <color theme="8" tint="-0.249977111117893"/>
      <name val="微软雅黑"/>
      <family val="2"/>
      <charset val="134"/>
    </font>
    <font>
      <b/>
      <sz val="9"/>
      <color rgb="FF777777"/>
      <name val="微软雅黑"/>
      <family val="2"/>
      <charset val="134"/>
    </font>
    <font>
      <sz val="8"/>
      <color theme="1"/>
      <name val="微软雅黑"/>
      <family val="2"/>
      <charset val="134"/>
    </font>
    <font>
      <b/>
      <sz val="9"/>
      <color rgb="FFC00000"/>
      <name val="微软雅黑"/>
      <family val="2"/>
      <charset val="134"/>
    </font>
    <font>
      <b/>
      <sz val="8"/>
      <color rgb="FFC00000"/>
      <name val="微软雅黑"/>
      <family val="2"/>
      <charset val="134"/>
    </font>
    <font>
      <sz val="9"/>
      <color theme="8" tint="-0.249977111117893"/>
      <name val="微软雅黑"/>
      <family val="2"/>
      <charset val="134"/>
    </font>
    <font>
      <b/>
      <sz val="8"/>
      <color theme="8" tint="-0.249977111117893"/>
      <name val="微软雅黑"/>
      <family val="2"/>
      <charset val="134"/>
    </font>
    <font>
      <b/>
      <sz val="9"/>
      <color rgb="FF00B050"/>
      <name val="微软雅黑"/>
      <family val="2"/>
      <charset val="134"/>
    </font>
    <font>
      <b/>
      <sz val="8"/>
      <color theme="0" tint="-0.499984740745262"/>
      <name val="微软雅黑"/>
      <family val="2"/>
      <charset val="134"/>
    </font>
    <font>
      <b/>
      <sz val="8"/>
      <color rgb="FF777777"/>
      <name val="微软雅黑"/>
      <family val="2"/>
      <charset val="134"/>
    </font>
    <font>
      <sz val="8"/>
      <color theme="1" tint="0.499984740745262"/>
      <name val="微软雅黑"/>
      <family val="2"/>
      <charset val="134"/>
    </font>
    <font>
      <b/>
      <sz val="9"/>
      <color theme="5" tint="-0.249977111117893"/>
      <name val="微软雅黑"/>
      <family val="2"/>
      <charset val="134"/>
    </font>
    <font>
      <sz val="8"/>
      <color theme="5" tint="-0.249977111117893"/>
      <name val="微软雅黑"/>
      <family val="2"/>
      <charset val="134"/>
    </font>
    <font>
      <b/>
      <sz val="8"/>
      <color theme="1"/>
      <name val="微软雅黑"/>
      <family val="2"/>
      <charset val="134"/>
    </font>
    <font>
      <sz val="6"/>
      <color theme="1"/>
      <name val="微软雅黑"/>
      <family val="2"/>
      <charset val="134"/>
    </font>
    <font>
      <sz val="6"/>
      <name val="微软雅黑"/>
      <family val="2"/>
      <charset val="134"/>
    </font>
    <font>
      <sz val="6"/>
      <color rgb="FF00B0F0"/>
      <name val="微软雅黑"/>
      <family val="2"/>
      <charset val="134"/>
    </font>
    <font>
      <b/>
      <sz val="6"/>
      <color theme="0"/>
      <name val="微软雅黑"/>
      <family val="2"/>
      <charset val="134"/>
    </font>
    <font>
      <b/>
      <sz val="6"/>
      <name val="微软雅黑"/>
      <family val="2"/>
      <charset val="134"/>
    </font>
    <font>
      <b/>
      <sz val="6"/>
      <color theme="1"/>
      <name val="微软雅黑"/>
      <family val="2"/>
      <charset val="134"/>
    </font>
    <font>
      <sz val="6"/>
      <color rgb="FFFF0000"/>
      <name val="微软雅黑"/>
      <family val="2"/>
      <charset val="134"/>
    </font>
    <font>
      <sz val="6"/>
      <color theme="0"/>
      <name val="微软雅黑"/>
      <family val="2"/>
      <charset val="134"/>
    </font>
    <font>
      <sz val="7"/>
      <color theme="1"/>
      <name val="微软雅黑"/>
      <family val="2"/>
      <charset val="134"/>
    </font>
    <font>
      <b/>
      <sz val="8"/>
      <color theme="8" tint="-0.499984740745262"/>
      <name val="微软雅黑"/>
      <family val="2"/>
      <charset val="134"/>
    </font>
    <font>
      <b/>
      <sz val="6"/>
      <color rgb="FFFF0000"/>
      <name val="微软雅黑"/>
      <family val="2"/>
      <charset val="134"/>
    </font>
    <font>
      <b/>
      <sz val="8"/>
      <color rgb="FF7030A0"/>
      <name val="微软雅黑"/>
      <family val="2"/>
      <charset val="134"/>
    </font>
    <font>
      <sz val="6"/>
      <color rgb="FFC00000"/>
      <name val="微软雅黑"/>
      <family val="2"/>
      <charset val="134"/>
    </font>
    <font>
      <b/>
      <sz val="6"/>
      <color rgb="FFC00000"/>
      <name val="微软雅黑"/>
      <family val="2"/>
      <charset val="134"/>
    </font>
    <font>
      <sz val="6"/>
      <color theme="0" tint="-0.499984740745262"/>
      <name val="微软雅黑"/>
      <family val="2"/>
      <charset val="134"/>
    </font>
    <font>
      <b/>
      <sz val="8"/>
      <color rgb="FF002060"/>
      <name val="微软雅黑"/>
      <family val="2"/>
      <charset val="134"/>
    </font>
    <font>
      <b/>
      <sz val="7"/>
      <color theme="0"/>
      <name val="微软雅黑"/>
      <family val="2"/>
      <charset val="134"/>
    </font>
    <font>
      <b/>
      <sz val="9"/>
      <color rgb="FF7030A0"/>
      <name val="微软雅黑"/>
      <family val="2"/>
      <charset val="134"/>
    </font>
    <font>
      <b/>
      <sz val="8"/>
      <color rgb="FFFF0000"/>
      <name val="微软雅黑"/>
      <family val="2"/>
      <charset val="134"/>
    </font>
    <font>
      <b/>
      <sz val="8"/>
      <color rgb="FF00B050"/>
      <name val="微软雅黑"/>
      <family val="2"/>
      <charset val="134"/>
    </font>
    <font>
      <sz val="8"/>
      <name val="微软雅黑"/>
      <family val="2"/>
      <charset val="134"/>
    </font>
    <font>
      <b/>
      <sz val="9"/>
      <color theme="1" tint="0.499984740745262"/>
      <name val="微软雅黑"/>
      <family val="2"/>
      <charset val="134"/>
    </font>
    <font>
      <b/>
      <sz val="8"/>
      <color theme="0"/>
      <name val="微软雅黑"/>
      <family val="2"/>
      <charset val="134"/>
    </font>
  </fonts>
  <fills count="8">
    <fill>
      <patternFill patternType="none"/>
    </fill>
    <fill>
      <patternFill patternType="gray125"/>
    </fill>
    <fill>
      <patternFill patternType="solid">
        <fgColor theme="3" tint="0.39997558519241921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C00000"/>
        <bgColor indexed="64"/>
      </patternFill>
    </fill>
  </fills>
  <borders count="49">
    <border>
      <left/>
      <right/>
      <top/>
      <bottom/>
      <diagonal/>
    </border>
    <border>
      <left style="dotted">
        <color auto="1"/>
      </left>
      <right style="dotted">
        <color auto="1"/>
      </right>
      <top style="dotted">
        <color auto="1"/>
      </top>
      <bottom style="dotted">
        <color auto="1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/>
      <bottom style="medium">
        <color rgb="FF0070C0"/>
      </bottom>
      <diagonal/>
    </border>
    <border>
      <left/>
      <right/>
      <top/>
      <bottom style="medium">
        <color theme="8" tint="-0.24994659260841701"/>
      </bottom>
      <diagonal/>
    </border>
    <border>
      <left/>
      <right style="dotted">
        <color theme="0"/>
      </right>
      <top/>
      <bottom style="dotted">
        <color theme="0"/>
      </bottom>
      <diagonal/>
    </border>
    <border>
      <left/>
      <right style="medium">
        <color theme="0"/>
      </right>
      <top/>
      <bottom/>
      <diagonal/>
    </border>
    <border>
      <left style="medium">
        <color theme="0"/>
      </left>
      <right style="medium">
        <color theme="0"/>
      </right>
      <top/>
      <bottom/>
      <diagonal/>
    </border>
    <border>
      <left style="medium">
        <color theme="0"/>
      </left>
      <right/>
      <top/>
      <bottom/>
      <diagonal/>
    </border>
    <border>
      <left/>
      <right/>
      <top style="dotted">
        <color theme="0"/>
      </top>
      <bottom style="dotted">
        <color theme="0"/>
      </bottom>
      <diagonal/>
    </border>
    <border>
      <left style="dotted">
        <color auto="1"/>
      </left>
      <right/>
      <top style="dotted">
        <color auto="1"/>
      </top>
      <bottom style="dotted">
        <color auto="1"/>
      </bottom>
      <diagonal/>
    </border>
    <border>
      <left style="dotted">
        <color auto="1"/>
      </left>
      <right style="dotted">
        <color auto="1"/>
      </right>
      <top style="thin">
        <color indexed="64"/>
      </top>
      <bottom style="dotted">
        <color auto="1"/>
      </bottom>
      <diagonal/>
    </border>
    <border>
      <left style="dotted">
        <color auto="1"/>
      </left>
      <right style="dotted">
        <color auto="1"/>
      </right>
      <top style="dotted">
        <color auto="1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dotted">
        <color auto="1"/>
      </right>
      <top style="dotted">
        <color auto="1"/>
      </top>
      <bottom style="dotted">
        <color auto="1"/>
      </bottom>
      <diagonal/>
    </border>
    <border>
      <left style="thin">
        <color indexed="64"/>
      </left>
      <right style="dotted">
        <color auto="1"/>
      </right>
      <top style="thin">
        <color indexed="64"/>
      </top>
      <bottom style="dotted">
        <color auto="1"/>
      </bottom>
      <diagonal/>
    </border>
    <border>
      <left style="dotted">
        <color auto="1"/>
      </left>
      <right style="dotted">
        <color auto="1"/>
      </right>
      <top/>
      <bottom style="dotted">
        <color auto="1"/>
      </bottom>
      <diagonal/>
    </border>
    <border>
      <left style="dotted">
        <color auto="1"/>
      </left>
      <right style="thin">
        <color indexed="64"/>
      </right>
      <top style="thin">
        <color indexed="64"/>
      </top>
      <bottom style="dotted">
        <color auto="1"/>
      </bottom>
      <diagonal/>
    </border>
    <border>
      <left style="dotted">
        <color auto="1"/>
      </left>
      <right style="thin">
        <color indexed="64"/>
      </right>
      <top style="dotted">
        <color auto="1"/>
      </top>
      <bottom style="dotted">
        <color auto="1"/>
      </bottom>
      <diagonal/>
    </border>
    <border>
      <left style="thin">
        <color indexed="64"/>
      </left>
      <right style="dotted">
        <color auto="1"/>
      </right>
      <top style="dotted">
        <color auto="1"/>
      </top>
      <bottom style="thin">
        <color indexed="64"/>
      </bottom>
      <diagonal/>
    </border>
    <border>
      <left style="dotted">
        <color auto="1"/>
      </left>
      <right style="dotted">
        <color auto="1"/>
      </right>
      <top style="dotted">
        <color auto="1"/>
      </top>
      <bottom style="thin">
        <color indexed="64"/>
      </bottom>
      <diagonal/>
    </border>
    <border>
      <left style="dotted">
        <color auto="1"/>
      </left>
      <right style="thin">
        <color indexed="64"/>
      </right>
      <top style="dotted">
        <color auto="1"/>
      </top>
      <bottom style="thin">
        <color indexed="64"/>
      </bottom>
      <diagonal/>
    </border>
    <border>
      <left style="dotted">
        <color auto="1"/>
      </left>
      <right style="dotted">
        <color auto="1"/>
      </right>
      <top style="dotted">
        <color auto="1"/>
      </top>
      <bottom style="medium">
        <color auto="1"/>
      </bottom>
      <diagonal/>
    </border>
    <border>
      <left style="dashDotDot">
        <color theme="3" tint="0.39991454817346722"/>
      </left>
      <right style="dashDotDot">
        <color theme="3" tint="0.39991454817346722"/>
      </right>
      <top style="dashDotDot">
        <color theme="3" tint="0.39991454817346722"/>
      </top>
      <bottom style="dashDotDot">
        <color theme="3" tint="0.39991454817346722"/>
      </bottom>
      <diagonal/>
    </border>
    <border>
      <left/>
      <right style="dotted">
        <color indexed="64"/>
      </right>
      <top/>
      <bottom/>
      <diagonal/>
    </border>
    <border>
      <left style="thin">
        <color indexed="64"/>
      </left>
      <right style="dotted">
        <color auto="1"/>
      </right>
      <top/>
      <bottom style="dotted">
        <color auto="1"/>
      </bottom>
      <diagonal/>
    </border>
    <border>
      <left/>
      <right/>
      <top/>
      <bottom style="thin">
        <color indexed="64"/>
      </bottom>
      <diagonal/>
    </border>
    <border>
      <left style="dotted">
        <color auto="1"/>
      </left>
      <right style="thin">
        <color indexed="64"/>
      </right>
      <top/>
      <bottom style="dotted">
        <color auto="1"/>
      </bottom>
      <diagonal/>
    </border>
    <border>
      <left style="medium">
        <color theme="8" tint="-0.24994659260841701"/>
      </left>
      <right/>
      <top style="medium">
        <color theme="8" tint="-0.24994659260841701"/>
      </top>
      <bottom/>
      <diagonal/>
    </border>
    <border>
      <left/>
      <right/>
      <top style="medium">
        <color theme="8" tint="-0.24994659260841701"/>
      </top>
      <bottom/>
      <diagonal/>
    </border>
    <border>
      <left/>
      <right style="medium">
        <color theme="8" tint="-0.24994659260841701"/>
      </right>
      <top style="medium">
        <color theme="8" tint="-0.24994659260841701"/>
      </top>
      <bottom/>
      <diagonal/>
    </border>
    <border>
      <left style="medium">
        <color theme="8" tint="-0.24994659260841701"/>
      </left>
      <right/>
      <top/>
      <bottom/>
      <diagonal/>
    </border>
    <border>
      <left/>
      <right style="medium">
        <color theme="8" tint="-0.24994659260841701"/>
      </right>
      <top/>
      <bottom/>
      <diagonal/>
    </border>
    <border>
      <left style="medium">
        <color theme="8" tint="-0.24994659260841701"/>
      </left>
      <right/>
      <top/>
      <bottom style="medium">
        <color theme="8" tint="-0.24994659260841701"/>
      </bottom>
      <diagonal/>
    </border>
    <border>
      <left/>
      <right style="medium">
        <color theme="8" tint="-0.24994659260841701"/>
      </right>
      <top/>
      <bottom style="medium">
        <color theme="8" tint="-0.24994659260841701"/>
      </bottom>
      <diagonal/>
    </border>
    <border>
      <left/>
      <right/>
      <top/>
      <bottom style="dashed">
        <color theme="0"/>
      </bottom>
      <diagonal/>
    </border>
    <border>
      <left style="dotted">
        <color theme="0"/>
      </left>
      <right style="dotted">
        <color theme="0"/>
      </right>
      <top style="dotted">
        <color theme="0"/>
      </top>
      <bottom style="dotted">
        <color theme="0"/>
      </bottom>
      <diagonal/>
    </border>
    <border>
      <left style="dotted">
        <color auto="1"/>
      </left>
      <right/>
      <top style="dotted">
        <color auto="1"/>
      </top>
      <bottom style="thin">
        <color indexed="64"/>
      </bottom>
      <diagonal/>
    </border>
    <border>
      <left style="medium">
        <color rgb="FF7030A0"/>
      </left>
      <right/>
      <top/>
      <bottom/>
      <diagonal/>
    </border>
    <border>
      <left style="dotted">
        <color auto="1"/>
      </left>
      <right/>
      <top style="thin">
        <color indexed="64"/>
      </top>
      <bottom style="dotted">
        <color auto="1"/>
      </bottom>
      <diagonal/>
    </border>
    <border>
      <left style="dotted">
        <color auto="1"/>
      </left>
      <right/>
      <top/>
      <bottom style="dotted">
        <color auto="1"/>
      </bottom>
      <diagonal/>
    </border>
    <border>
      <left style="medium">
        <color rgb="FF7030A0"/>
      </left>
      <right style="dotted">
        <color auto="1"/>
      </right>
      <top style="dotted">
        <color auto="1"/>
      </top>
      <bottom style="dotted">
        <color auto="1"/>
      </bottom>
      <diagonal/>
    </border>
    <border>
      <left style="medium">
        <color rgb="FF7030A0"/>
      </left>
      <right style="dotted">
        <color auto="1"/>
      </right>
      <top style="dotted">
        <color auto="1"/>
      </top>
      <bottom/>
      <diagonal/>
    </border>
    <border>
      <left style="medium">
        <color rgb="FF7030A0"/>
      </left>
      <right style="dotted">
        <color auto="1"/>
      </right>
      <top style="thin">
        <color indexed="64"/>
      </top>
      <bottom style="dotted">
        <color auto="1"/>
      </bottom>
      <diagonal/>
    </border>
    <border>
      <left style="medium">
        <color rgb="FF7030A0"/>
      </left>
      <right/>
      <top/>
      <bottom style="medium">
        <color rgb="FF0070C0"/>
      </bottom>
      <diagonal/>
    </border>
    <border>
      <left style="medium">
        <color rgb="FF7030A0"/>
      </left>
      <right/>
      <top style="medium">
        <color rgb="FF0070C0"/>
      </top>
      <bottom style="dotted">
        <color auto="1"/>
      </bottom>
      <diagonal/>
    </border>
    <border>
      <left style="medium">
        <color rgb="FF7030A0"/>
      </left>
      <right style="dotted">
        <color auto="1"/>
      </right>
      <top style="dotted">
        <color auto="1"/>
      </top>
      <bottom style="thin">
        <color indexed="64"/>
      </bottom>
      <diagonal/>
    </border>
    <border>
      <left style="medium">
        <color rgb="FF7030A0"/>
      </left>
      <right style="dotted">
        <color auto="1"/>
      </right>
      <top/>
      <bottom style="dotted">
        <color auto="1"/>
      </bottom>
      <diagonal/>
    </border>
    <border>
      <left style="medium">
        <color rgb="FF7030A0"/>
      </left>
      <right style="dashDotDot">
        <color theme="3" tint="0.39991454817346722"/>
      </right>
      <top style="dashDotDot">
        <color theme="3" tint="0.39991454817346722"/>
      </top>
      <bottom style="dashDotDot">
        <color theme="3" tint="0.39991454817346722"/>
      </bottom>
      <diagonal/>
    </border>
  </borders>
  <cellStyleXfs count="1">
    <xf numFmtId="0" fontId="0" fillId="0" borderId="0"/>
  </cellStyleXfs>
  <cellXfs count="279">
    <xf numFmtId="0" fontId="0" fillId="0" borderId="0" xfId="0"/>
    <xf numFmtId="0" fontId="4" fillId="0" borderId="0" xfId="0" applyFont="1" applyAlignment="1" applyProtection="1">
      <alignment horizontal="center" vertical="center"/>
      <protection hidden="1"/>
    </xf>
    <xf numFmtId="0" fontId="5" fillId="0" borderId="0" xfId="0" applyFont="1" applyBorder="1" applyAlignment="1" applyProtection="1">
      <alignment horizontal="center" vertical="center"/>
      <protection hidden="1"/>
    </xf>
    <xf numFmtId="0" fontId="5" fillId="0" borderId="0" xfId="0" applyFont="1" applyAlignment="1" applyProtection="1">
      <alignment horizontal="center" vertical="center"/>
      <protection hidden="1"/>
    </xf>
    <xf numFmtId="0" fontId="8" fillId="0" borderId="0" xfId="0" applyFont="1" applyBorder="1" applyAlignment="1" applyProtection="1">
      <alignment horizontal="left" vertical="center"/>
      <protection hidden="1"/>
    </xf>
    <xf numFmtId="0" fontId="8" fillId="0" borderId="0" xfId="0" applyFont="1" applyAlignment="1" applyProtection="1">
      <alignment horizontal="center" vertical="center"/>
      <protection hidden="1"/>
    </xf>
    <xf numFmtId="0" fontId="8" fillId="0" borderId="0" xfId="0" applyFont="1" applyFill="1" applyAlignment="1" applyProtection="1">
      <alignment horizontal="left" vertical="center"/>
      <protection hidden="1"/>
    </xf>
    <xf numFmtId="0" fontId="8" fillId="0" borderId="0" xfId="0" applyFont="1" applyAlignment="1" applyProtection="1">
      <alignment horizontal="left" vertical="center"/>
      <protection hidden="1"/>
    </xf>
    <xf numFmtId="0" fontId="8" fillId="0" borderId="0" xfId="0" applyFont="1" applyBorder="1" applyAlignment="1" applyProtection="1">
      <alignment horizontal="center" vertical="center"/>
      <protection hidden="1"/>
    </xf>
    <xf numFmtId="0" fontId="10" fillId="0" borderId="0" xfId="0" applyFont="1" applyFill="1" applyAlignment="1" applyProtection="1">
      <alignment horizontal="left" vertical="center"/>
      <protection hidden="1"/>
    </xf>
    <xf numFmtId="0" fontId="6" fillId="4" borderId="2" xfId="0" applyFont="1" applyFill="1" applyBorder="1" applyAlignment="1" applyProtection="1">
      <alignment horizontal="center" vertical="center"/>
      <protection hidden="1"/>
    </xf>
    <xf numFmtId="0" fontId="3" fillId="0" borderId="0" xfId="0" applyFont="1" applyBorder="1" applyAlignment="1" applyProtection="1">
      <alignment horizontal="center" vertical="center"/>
      <protection hidden="1"/>
    </xf>
    <xf numFmtId="0" fontId="6" fillId="4" borderId="0" xfId="0" applyFont="1" applyFill="1" applyBorder="1" applyAlignment="1" applyProtection="1">
      <alignment horizontal="center" vertical="center"/>
      <protection hidden="1"/>
    </xf>
    <xf numFmtId="0" fontId="11" fillId="0" borderId="0" xfId="0" applyFont="1" applyBorder="1" applyAlignment="1" applyProtection="1">
      <alignment horizontal="center" vertical="center"/>
      <protection hidden="1"/>
    </xf>
    <xf numFmtId="0" fontId="12" fillId="0" borderId="0" xfId="0" applyFont="1" applyAlignment="1" applyProtection="1">
      <alignment horizontal="center" vertical="center"/>
      <protection hidden="1"/>
    </xf>
    <xf numFmtId="0" fontId="13" fillId="0" borderId="0" xfId="0" applyFont="1" applyFill="1" applyBorder="1" applyAlignment="1" applyProtection="1">
      <alignment vertical="center"/>
      <protection locked="0" hidden="1"/>
    </xf>
    <xf numFmtId="0" fontId="3" fillId="0" borderId="0" xfId="0" applyFont="1" applyAlignment="1" applyProtection="1">
      <alignment horizontal="center" vertical="center"/>
      <protection hidden="1"/>
    </xf>
    <xf numFmtId="0" fontId="11" fillId="0" borderId="0" xfId="0" applyFont="1" applyFill="1" applyBorder="1" applyAlignment="1" applyProtection="1">
      <alignment horizontal="center" vertical="center"/>
      <protection hidden="1"/>
    </xf>
    <xf numFmtId="0" fontId="13" fillId="0" borderId="0" xfId="0" applyFont="1" applyBorder="1" applyAlignment="1" applyProtection="1">
      <alignment horizontal="right" vertical="center"/>
      <protection locked="0" hidden="1"/>
    </xf>
    <xf numFmtId="0" fontId="13" fillId="0" borderId="0" xfId="0" applyFont="1" applyFill="1" applyBorder="1" applyAlignment="1" applyProtection="1">
      <alignment horizontal="center" vertical="center"/>
      <protection hidden="1"/>
    </xf>
    <xf numFmtId="10" fontId="13" fillId="0" borderId="0" xfId="0" applyNumberFormat="1" applyFont="1" applyFill="1" applyBorder="1" applyAlignment="1" applyProtection="1">
      <alignment horizontal="center" vertical="center"/>
      <protection locked="0" hidden="1"/>
    </xf>
    <xf numFmtId="0" fontId="3" fillId="0" borderId="0" xfId="0" applyFont="1" applyFill="1" applyBorder="1" applyAlignment="1" applyProtection="1">
      <alignment horizontal="center" vertical="center"/>
      <protection hidden="1"/>
    </xf>
    <xf numFmtId="0" fontId="13" fillId="0" borderId="0" xfId="0" applyFont="1" applyFill="1" applyBorder="1" applyAlignment="1" applyProtection="1">
      <alignment horizontal="center" vertical="center"/>
      <protection locked="0" hidden="1"/>
    </xf>
    <xf numFmtId="10" fontId="13" fillId="0" borderId="0" xfId="0" applyNumberFormat="1" applyFont="1" applyFill="1" applyBorder="1" applyAlignment="1" applyProtection="1">
      <alignment horizontal="center" vertical="center"/>
      <protection hidden="1"/>
    </xf>
    <xf numFmtId="0" fontId="6" fillId="4" borderId="0" xfId="0" applyFont="1" applyFill="1" applyBorder="1" applyAlignment="1" applyProtection="1">
      <alignment horizontal="left" vertical="center"/>
      <protection hidden="1"/>
    </xf>
    <xf numFmtId="0" fontId="6" fillId="0" borderId="0" xfId="0" applyFont="1" applyFill="1" applyBorder="1" applyAlignment="1" applyProtection="1">
      <alignment horizontal="center" vertical="center"/>
      <protection hidden="1"/>
    </xf>
    <xf numFmtId="10" fontId="13" fillId="0" borderId="0" xfId="0" applyNumberFormat="1" applyFont="1" applyBorder="1" applyAlignment="1" applyProtection="1">
      <alignment horizontal="right" vertical="center"/>
      <protection locked="0" hidden="1"/>
    </xf>
    <xf numFmtId="0" fontId="12" fillId="0" borderId="3" xfId="0" applyFont="1" applyBorder="1" applyAlignment="1" applyProtection="1">
      <alignment horizontal="center" vertical="center"/>
      <protection hidden="1"/>
    </xf>
    <xf numFmtId="0" fontId="14" fillId="0" borderId="4" xfId="0" applyFont="1" applyBorder="1" applyAlignment="1" applyProtection="1">
      <alignment horizontal="center" vertical="center"/>
      <protection hidden="1"/>
    </xf>
    <xf numFmtId="0" fontId="12" fillId="0" borderId="4" xfId="0" applyFont="1" applyBorder="1" applyAlignment="1" applyProtection="1">
      <alignment horizontal="center" vertical="center"/>
      <protection hidden="1"/>
    </xf>
    <xf numFmtId="0" fontId="3" fillId="0" borderId="4" xfId="0" applyFont="1" applyBorder="1" applyAlignment="1" applyProtection="1">
      <alignment horizontal="center" vertical="center"/>
      <protection hidden="1"/>
    </xf>
    <xf numFmtId="0" fontId="9" fillId="0" borderId="0" xfId="0" applyFont="1" applyBorder="1" applyAlignment="1" applyProtection="1">
      <alignment horizontal="center" vertical="center"/>
      <protection hidden="1"/>
    </xf>
    <xf numFmtId="0" fontId="6" fillId="4" borderId="0" xfId="0" applyFont="1" applyFill="1" applyAlignment="1" applyProtection="1">
      <alignment horizontal="center" vertical="center"/>
      <protection hidden="1"/>
    </xf>
    <xf numFmtId="0" fontId="4" fillId="0" borderId="0" xfId="0" applyFont="1" applyBorder="1" applyAlignment="1" applyProtection="1">
      <alignment horizontal="center" vertical="center"/>
      <protection hidden="1"/>
    </xf>
    <xf numFmtId="0" fontId="10" fillId="0" borderId="0" xfId="0" applyFont="1" applyBorder="1" applyAlignment="1" applyProtection="1">
      <alignment horizontal="left" vertical="center"/>
      <protection hidden="1"/>
    </xf>
    <xf numFmtId="0" fontId="10" fillId="0" borderId="0" xfId="0" applyFont="1" applyAlignment="1" applyProtection="1">
      <alignment horizontal="center" vertical="center"/>
      <protection hidden="1"/>
    </xf>
    <xf numFmtId="0" fontId="10" fillId="0" borderId="0" xfId="0" applyFont="1" applyBorder="1" applyAlignment="1" applyProtection="1">
      <alignment horizontal="center"/>
      <protection hidden="1"/>
    </xf>
    <xf numFmtId="0" fontId="15" fillId="0" borderId="0" xfId="0" applyFont="1" applyBorder="1" applyAlignment="1" applyProtection="1">
      <alignment horizontal="center"/>
      <protection hidden="1"/>
    </xf>
    <xf numFmtId="0" fontId="10" fillId="0" borderId="0" xfId="0" applyFont="1" applyAlignment="1" applyProtection="1">
      <alignment horizontal="left" vertical="center"/>
      <protection hidden="1"/>
    </xf>
    <xf numFmtId="0" fontId="10" fillId="0" borderId="0" xfId="0" applyFont="1" applyBorder="1" applyAlignment="1" applyProtection="1">
      <alignment horizontal="center" vertical="center"/>
      <protection hidden="1"/>
    </xf>
    <xf numFmtId="178" fontId="13" fillId="0" borderId="0" xfId="0" applyNumberFormat="1" applyFont="1" applyBorder="1" applyAlignment="1" applyProtection="1">
      <alignment horizontal="right" vertical="center"/>
      <protection locked="0" hidden="1"/>
    </xf>
    <xf numFmtId="0" fontId="17" fillId="0" borderId="0" xfId="0" applyFont="1" applyBorder="1" applyAlignment="1" applyProtection="1">
      <alignment horizontal="center" vertical="center"/>
      <protection hidden="1"/>
    </xf>
    <xf numFmtId="0" fontId="6" fillId="4" borderId="0" xfId="0" applyFont="1" applyFill="1" applyBorder="1" applyAlignment="1" applyProtection="1">
      <alignment horizontal="right" vertical="center"/>
      <protection hidden="1"/>
    </xf>
    <xf numFmtId="0" fontId="6" fillId="3" borderId="8" xfId="0" applyFont="1" applyFill="1" applyBorder="1" applyAlignment="1" applyProtection="1">
      <alignment horizontal="center" vertical="center"/>
      <protection hidden="1"/>
    </xf>
    <xf numFmtId="0" fontId="6" fillId="3" borderId="0" xfId="0" applyFont="1" applyFill="1" applyBorder="1" applyAlignment="1" applyProtection="1">
      <alignment horizontal="center" vertical="center"/>
      <protection hidden="1"/>
    </xf>
    <xf numFmtId="0" fontId="12" fillId="0" borderId="0" xfId="0" applyFont="1" applyBorder="1" applyAlignment="1" applyProtection="1">
      <alignment horizontal="center" vertical="center"/>
      <protection hidden="1"/>
    </xf>
    <xf numFmtId="179" fontId="13" fillId="0" borderId="5" xfId="0" applyNumberFormat="1" applyFont="1" applyBorder="1" applyAlignment="1" applyProtection="1">
      <alignment horizontal="center" vertical="center"/>
      <protection locked="0" hidden="1"/>
    </xf>
    <xf numFmtId="0" fontId="18" fillId="0" borderId="0" xfId="0" applyFont="1" applyFill="1" applyBorder="1" applyAlignment="1" applyProtection="1">
      <alignment horizontal="left" vertical="center"/>
      <protection hidden="1"/>
    </xf>
    <xf numFmtId="0" fontId="19" fillId="0" borderId="0" xfId="0" applyFont="1" applyFill="1" applyBorder="1" applyAlignment="1" applyProtection="1">
      <alignment horizontal="left" vertical="center"/>
      <protection hidden="1"/>
    </xf>
    <xf numFmtId="182" fontId="20" fillId="0" borderId="0" xfId="0" applyNumberFormat="1" applyFont="1" applyFill="1" applyBorder="1" applyAlignment="1" applyProtection="1">
      <alignment horizontal="center" vertical="center"/>
      <protection hidden="1"/>
    </xf>
    <xf numFmtId="182" fontId="20" fillId="5" borderId="0" xfId="0" applyNumberFormat="1" applyFont="1" applyFill="1" applyBorder="1" applyAlignment="1" applyProtection="1">
      <alignment horizontal="center" vertical="center"/>
      <protection hidden="1"/>
    </xf>
    <xf numFmtId="0" fontId="11" fillId="0" borderId="1" xfId="0" applyFont="1" applyBorder="1" applyAlignment="1" applyProtection="1">
      <alignment horizontal="center" vertical="center"/>
      <protection hidden="1"/>
    </xf>
    <xf numFmtId="0" fontId="12" fillId="0" borderId="0" xfId="0" applyFont="1" applyFill="1" applyBorder="1" applyAlignment="1" applyProtection="1">
      <alignment horizontal="center" vertical="center"/>
      <protection hidden="1"/>
    </xf>
    <xf numFmtId="182" fontId="7" fillId="0" borderId="0" xfId="0" applyNumberFormat="1" applyFont="1" applyFill="1" applyBorder="1" applyAlignment="1" applyProtection="1">
      <alignment horizontal="center" vertical="center"/>
      <protection hidden="1"/>
    </xf>
    <xf numFmtId="0" fontId="21" fillId="0" borderId="0" xfId="0" applyFont="1" applyFill="1" applyBorder="1" applyAlignment="1" applyProtection="1">
      <alignment horizontal="center" vertical="center"/>
      <protection hidden="1"/>
    </xf>
    <xf numFmtId="0" fontId="22" fillId="0" borderId="0" xfId="0" applyFont="1" applyFill="1" applyBorder="1" applyAlignment="1" applyProtection="1">
      <alignment horizontal="center" vertical="center"/>
      <protection hidden="1"/>
    </xf>
    <xf numFmtId="0" fontId="23" fillId="0" borderId="0" xfId="0" applyFont="1" applyAlignment="1" applyProtection="1">
      <alignment horizontal="center" vertical="center"/>
      <protection hidden="1"/>
    </xf>
    <xf numFmtId="186" fontId="17" fillId="0" borderId="1" xfId="0" applyNumberFormat="1" applyFont="1" applyFill="1" applyBorder="1" applyAlignment="1" applyProtection="1">
      <alignment horizontal="center" vertical="center"/>
      <protection hidden="1"/>
    </xf>
    <xf numFmtId="0" fontId="24" fillId="0" borderId="0" xfId="0" applyFont="1" applyAlignment="1" applyProtection="1">
      <alignment horizontal="center" vertical="center"/>
      <protection hidden="1"/>
    </xf>
    <xf numFmtId="10" fontId="25" fillId="0" borderId="0" xfId="0" applyNumberFormat="1" applyFont="1" applyAlignment="1" applyProtection="1">
      <alignment horizontal="center" vertical="center"/>
      <protection hidden="1"/>
    </xf>
    <xf numFmtId="0" fontId="26" fillId="0" borderId="0" xfId="0" applyFont="1" applyAlignment="1" applyProtection="1">
      <alignment horizontal="center" vertical="center"/>
      <protection hidden="1"/>
    </xf>
    <xf numFmtId="0" fontId="27" fillId="2" borderId="0" xfId="0" applyFont="1" applyFill="1" applyBorder="1" applyAlignment="1" applyProtection="1">
      <alignment horizontal="center" vertical="center"/>
      <protection hidden="1"/>
    </xf>
    <xf numFmtId="0" fontId="25" fillId="0" borderId="0" xfId="0" applyFont="1" applyAlignment="1" applyProtection="1">
      <alignment horizontal="center" vertical="center"/>
      <protection hidden="1"/>
    </xf>
    <xf numFmtId="0" fontId="28" fillId="0" borderId="0" xfId="0" applyFont="1" applyAlignment="1" applyProtection="1">
      <alignment horizontal="center" vertical="center"/>
      <protection hidden="1"/>
    </xf>
    <xf numFmtId="10" fontId="24" fillId="0" borderId="0" xfId="0" applyNumberFormat="1" applyFont="1" applyAlignment="1" applyProtection="1">
      <alignment horizontal="center" vertical="center"/>
      <protection hidden="1"/>
    </xf>
    <xf numFmtId="0" fontId="27" fillId="2" borderId="0" xfId="0" applyFont="1" applyFill="1" applyAlignment="1" applyProtection="1">
      <alignment horizontal="center" vertical="center"/>
      <protection hidden="1"/>
    </xf>
    <xf numFmtId="180" fontId="24" fillId="0" borderId="0" xfId="0" applyNumberFormat="1" applyFont="1" applyAlignment="1" applyProtection="1">
      <alignment horizontal="center" vertical="center"/>
      <protection hidden="1"/>
    </xf>
    <xf numFmtId="0" fontId="24" fillId="0" borderId="0" xfId="0" applyNumberFormat="1" applyFont="1" applyAlignment="1" applyProtection="1">
      <alignment horizontal="center" vertical="center"/>
      <protection hidden="1"/>
    </xf>
    <xf numFmtId="0" fontId="24" fillId="0" borderId="0" xfId="0" applyFont="1" applyBorder="1" applyAlignment="1" applyProtection="1">
      <alignment horizontal="center" vertical="center"/>
      <protection hidden="1"/>
    </xf>
    <xf numFmtId="176" fontId="24" fillId="0" borderId="0" xfId="0" applyNumberFormat="1" applyFont="1" applyAlignment="1" applyProtection="1">
      <alignment horizontal="center" vertical="center"/>
      <protection hidden="1"/>
    </xf>
    <xf numFmtId="176" fontId="24" fillId="0" borderId="0" xfId="0" applyNumberFormat="1" applyFont="1" applyBorder="1" applyAlignment="1" applyProtection="1">
      <alignment horizontal="center" vertical="center"/>
      <protection hidden="1"/>
    </xf>
    <xf numFmtId="10" fontId="24" fillId="0" borderId="0" xfId="0" applyNumberFormat="1" applyFont="1" applyBorder="1" applyAlignment="1" applyProtection="1">
      <alignment horizontal="center" vertical="center"/>
      <protection hidden="1"/>
    </xf>
    <xf numFmtId="0" fontId="29" fillId="0" borderId="0" xfId="0" applyFont="1" applyAlignment="1" applyProtection="1">
      <alignment horizontal="center" vertical="center"/>
      <protection hidden="1"/>
    </xf>
    <xf numFmtId="0" fontId="27" fillId="0" borderId="0" xfId="0" applyFont="1" applyFill="1" applyBorder="1" applyAlignment="1" applyProtection="1">
      <alignment vertical="center"/>
      <protection hidden="1"/>
    </xf>
    <xf numFmtId="179" fontId="24" fillId="0" borderId="0" xfId="0" applyNumberFormat="1" applyFont="1" applyAlignment="1" applyProtection="1">
      <alignment horizontal="center" vertical="center"/>
      <protection hidden="1"/>
    </xf>
    <xf numFmtId="0" fontId="29" fillId="0" borderId="0" xfId="0" applyFont="1" applyBorder="1" applyAlignment="1" applyProtection="1">
      <alignment horizontal="center" vertical="center"/>
      <protection hidden="1"/>
    </xf>
    <xf numFmtId="176" fontId="29" fillId="0" borderId="0" xfId="0" applyNumberFormat="1" applyFont="1" applyBorder="1" applyAlignment="1" applyProtection="1">
      <alignment horizontal="center" vertical="center"/>
      <protection hidden="1"/>
    </xf>
    <xf numFmtId="0" fontId="29" fillId="0" borderId="1" xfId="0" applyFont="1" applyBorder="1" applyAlignment="1" applyProtection="1">
      <alignment horizontal="center" vertical="center"/>
      <protection hidden="1"/>
    </xf>
    <xf numFmtId="182" fontId="29" fillId="0" borderId="1" xfId="0" applyNumberFormat="1" applyFont="1" applyBorder="1" applyAlignment="1" applyProtection="1">
      <alignment horizontal="center" vertical="center"/>
      <protection hidden="1"/>
    </xf>
    <xf numFmtId="182" fontId="25" fillId="0" borderId="0" xfId="0" applyNumberFormat="1" applyFont="1" applyBorder="1" applyAlignment="1" applyProtection="1">
      <alignment horizontal="center" vertical="center"/>
      <protection hidden="1"/>
    </xf>
    <xf numFmtId="0" fontId="24" fillId="0" borderId="0" xfId="0" applyFont="1" applyBorder="1" applyAlignment="1" applyProtection="1">
      <alignment horizontal="left" vertical="center"/>
      <protection hidden="1"/>
    </xf>
    <xf numFmtId="183" fontId="24" fillId="0" borderId="0" xfId="0" applyNumberFormat="1" applyFont="1" applyAlignment="1" applyProtection="1">
      <alignment horizontal="center" vertical="center"/>
      <protection hidden="1"/>
    </xf>
    <xf numFmtId="183" fontId="25" fillId="0" borderId="0" xfId="0" applyNumberFormat="1" applyFont="1" applyAlignment="1" applyProtection="1">
      <alignment horizontal="center" vertical="center"/>
      <protection hidden="1"/>
    </xf>
    <xf numFmtId="182" fontId="25" fillId="0" borderId="0" xfId="0" applyNumberFormat="1" applyFont="1" applyAlignment="1" applyProtection="1">
      <alignment horizontal="center" vertical="center"/>
      <protection hidden="1"/>
    </xf>
    <xf numFmtId="0" fontId="25" fillId="0" borderId="0" xfId="0" applyFont="1" applyBorder="1" applyAlignment="1" applyProtection="1">
      <alignment horizontal="center" vertical="center"/>
      <protection hidden="1"/>
    </xf>
    <xf numFmtId="185" fontId="25" fillId="0" borderId="0" xfId="0" applyNumberFormat="1" applyFont="1" applyBorder="1" applyAlignment="1" applyProtection="1">
      <alignment horizontal="center" vertical="center"/>
      <protection hidden="1"/>
    </xf>
    <xf numFmtId="0" fontId="24" fillId="0" borderId="1" xfId="0" applyFont="1" applyBorder="1" applyAlignment="1" applyProtection="1">
      <alignment horizontal="center" vertical="center"/>
      <protection hidden="1"/>
    </xf>
    <xf numFmtId="0" fontId="24" fillId="0" borderId="1" xfId="0" applyFont="1" applyBorder="1" applyAlignment="1" applyProtection="1">
      <alignment horizontal="left" vertical="center"/>
      <protection hidden="1"/>
    </xf>
    <xf numFmtId="0" fontId="32" fillId="0" borderId="0" xfId="0" applyFont="1" applyAlignment="1" applyProtection="1">
      <alignment horizontal="center" vertical="center"/>
      <protection hidden="1"/>
    </xf>
    <xf numFmtId="0" fontId="13" fillId="0" borderId="0" xfId="0" applyFont="1" applyFill="1" applyBorder="1" applyAlignment="1" applyProtection="1">
      <alignment vertical="center"/>
      <protection hidden="1"/>
    </xf>
    <xf numFmtId="0" fontId="6" fillId="4" borderId="6" xfId="0" applyFont="1" applyFill="1" applyBorder="1" applyAlignment="1" applyProtection="1">
      <alignment horizontal="center" vertical="center"/>
      <protection locked="0" hidden="1"/>
    </xf>
    <xf numFmtId="0" fontId="6" fillId="4" borderId="7" xfId="0" applyFont="1" applyFill="1" applyBorder="1" applyAlignment="1" applyProtection="1">
      <alignment horizontal="center" vertical="center"/>
      <protection locked="0" hidden="1"/>
    </xf>
    <xf numFmtId="0" fontId="6" fillId="4" borderId="8" xfId="0" applyFont="1" applyFill="1" applyBorder="1" applyAlignment="1" applyProtection="1">
      <alignment horizontal="center" vertical="center"/>
      <protection locked="0" hidden="1"/>
    </xf>
    <xf numFmtId="0" fontId="24" fillId="0" borderId="10" xfId="0" applyFont="1" applyBorder="1" applyAlignment="1" applyProtection="1">
      <alignment horizontal="center" vertical="center"/>
      <protection hidden="1"/>
    </xf>
    <xf numFmtId="0" fontId="32" fillId="0" borderId="0" xfId="0" applyFont="1" applyBorder="1" applyAlignment="1" applyProtection="1">
      <alignment horizontal="center" vertical="center"/>
      <protection hidden="1"/>
    </xf>
    <xf numFmtId="0" fontId="27" fillId="2" borderId="1" xfId="0" applyFont="1" applyFill="1" applyBorder="1" applyAlignment="1" applyProtection="1">
      <alignment horizontal="center" vertical="center"/>
      <protection hidden="1"/>
    </xf>
    <xf numFmtId="0" fontId="24" fillId="0" borderId="1" xfId="0" applyFont="1" applyBorder="1" applyAlignment="1" applyProtection="1">
      <alignment horizontal="center" vertical="center"/>
      <protection locked="0" hidden="1"/>
    </xf>
    <xf numFmtId="0" fontId="25" fillId="0" borderId="1" xfId="0" applyFont="1" applyBorder="1" applyAlignment="1" applyProtection="1">
      <alignment horizontal="center" vertical="center"/>
      <protection hidden="1"/>
    </xf>
    <xf numFmtId="10" fontId="25" fillId="0" borderId="1" xfId="0" applyNumberFormat="1" applyFont="1" applyBorder="1" applyAlignment="1" applyProtection="1">
      <alignment horizontal="center" vertical="center"/>
      <protection hidden="1"/>
    </xf>
    <xf numFmtId="0" fontId="25" fillId="0" borderId="1" xfId="0" applyNumberFormat="1" applyFont="1" applyBorder="1" applyAlignment="1" applyProtection="1">
      <alignment horizontal="center" vertical="center"/>
      <protection hidden="1"/>
    </xf>
    <xf numFmtId="0" fontId="28" fillId="0" borderId="1" xfId="0" applyFont="1" applyFill="1" applyBorder="1" applyAlignment="1" applyProtection="1">
      <alignment horizontal="center" vertical="center"/>
      <protection hidden="1"/>
    </xf>
    <xf numFmtId="0" fontId="25" fillId="0" borderId="1" xfId="0" applyFont="1" applyFill="1" applyBorder="1" applyAlignment="1" applyProtection="1">
      <alignment horizontal="center" vertical="center"/>
      <protection hidden="1"/>
    </xf>
    <xf numFmtId="0" fontId="25" fillId="0" borderId="0" xfId="0" applyFont="1" applyFill="1" applyBorder="1" applyAlignment="1" applyProtection="1">
      <alignment vertical="center"/>
      <protection hidden="1"/>
    </xf>
    <xf numFmtId="0" fontId="28" fillId="0" borderId="0" xfId="0" applyFont="1" applyFill="1" applyBorder="1" applyAlignment="1" applyProtection="1">
      <alignment vertical="center"/>
      <protection hidden="1"/>
    </xf>
    <xf numFmtId="176" fontId="24" fillId="0" borderId="1" xfId="0" applyNumberFormat="1" applyFont="1" applyBorder="1" applyAlignment="1" applyProtection="1">
      <alignment horizontal="center" vertical="center"/>
      <protection hidden="1"/>
    </xf>
    <xf numFmtId="10" fontId="24" fillId="0" borderId="1" xfId="0" applyNumberFormat="1" applyFont="1" applyBorder="1" applyAlignment="1" applyProtection="1">
      <alignment horizontal="center" vertical="center"/>
      <protection hidden="1"/>
    </xf>
    <xf numFmtId="177" fontId="24" fillId="0" borderId="1" xfId="0" applyNumberFormat="1" applyFont="1" applyBorder="1" applyAlignment="1" applyProtection="1">
      <alignment horizontal="center" vertical="center"/>
      <protection hidden="1"/>
    </xf>
    <xf numFmtId="181" fontId="24" fillId="0" borderId="1" xfId="0" applyNumberFormat="1" applyFont="1" applyBorder="1" applyAlignment="1" applyProtection="1">
      <alignment horizontal="center" vertical="center"/>
      <protection hidden="1"/>
    </xf>
    <xf numFmtId="0" fontId="24" fillId="0" borderId="12" xfId="0" applyFont="1" applyBorder="1" applyAlignment="1" applyProtection="1">
      <alignment horizontal="center" vertical="center"/>
      <protection hidden="1"/>
    </xf>
    <xf numFmtId="10" fontId="24" fillId="0" borderId="12" xfId="0" applyNumberFormat="1" applyFont="1" applyBorder="1" applyAlignment="1" applyProtection="1">
      <alignment horizontal="center" vertical="center"/>
      <protection hidden="1"/>
    </xf>
    <xf numFmtId="176" fontId="24" fillId="0" borderId="12" xfId="0" applyNumberFormat="1" applyFont="1" applyBorder="1" applyAlignment="1" applyProtection="1">
      <alignment horizontal="center" vertical="center"/>
      <protection hidden="1"/>
    </xf>
    <xf numFmtId="181" fontId="24" fillId="0" borderId="12" xfId="0" applyNumberFormat="1" applyFont="1" applyBorder="1" applyAlignment="1" applyProtection="1">
      <alignment horizontal="center" vertical="center"/>
      <protection hidden="1"/>
    </xf>
    <xf numFmtId="0" fontId="28" fillId="0" borderId="11" xfId="0" applyFont="1" applyFill="1" applyBorder="1" applyAlignment="1" applyProtection="1">
      <alignment horizontal="center" vertical="center"/>
      <protection hidden="1"/>
    </xf>
    <xf numFmtId="0" fontId="24" fillId="0" borderId="11" xfId="0" applyFont="1" applyBorder="1" applyAlignment="1" applyProtection="1">
      <alignment horizontal="center" vertical="center"/>
      <protection hidden="1"/>
    </xf>
    <xf numFmtId="0" fontId="24" fillId="0" borderId="14" xfId="0" applyFont="1" applyBorder="1" applyAlignment="1" applyProtection="1">
      <alignment horizontal="center" vertical="center"/>
      <protection hidden="1"/>
    </xf>
    <xf numFmtId="0" fontId="34" fillId="0" borderId="1" xfId="0" applyFont="1" applyBorder="1" applyAlignment="1" applyProtection="1">
      <alignment horizontal="center" vertical="center"/>
      <protection hidden="1"/>
    </xf>
    <xf numFmtId="0" fontId="29" fillId="0" borderId="12" xfId="0" applyFont="1" applyBorder="1" applyAlignment="1" applyProtection="1">
      <alignment horizontal="center" vertical="center"/>
      <protection hidden="1"/>
    </xf>
    <xf numFmtId="0" fontId="24" fillId="0" borderId="13" xfId="0" applyFont="1" applyBorder="1" applyAlignment="1" applyProtection="1">
      <alignment horizontal="center" vertical="center"/>
      <protection hidden="1"/>
    </xf>
    <xf numFmtId="0" fontId="29" fillId="0" borderId="11" xfId="0" applyFont="1" applyBorder="1" applyAlignment="1" applyProtection="1">
      <alignment horizontal="center" vertical="center"/>
      <protection hidden="1"/>
    </xf>
    <xf numFmtId="0" fontId="30" fillId="0" borderId="1" xfId="0" applyFont="1" applyBorder="1" applyAlignment="1" applyProtection="1">
      <alignment horizontal="center" vertical="center"/>
      <protection hidden="1"/>
    </xf>
    <xf numFmtId="0" fontId="29" fillId="0" borderId="16" xfId="0" applyFont="1" applyBorder="1" applyAlignment="1" applyProtection="1">
      <alignment horizontal="center" vertical="center"/>
      <protection hidden="1"/>
    </xf>
    <xf numFmtId="182" fontId="29" fillId="0" borderId="16" xfId="0" applyNumberFormat="1" applyFont="1" applyBorder="1" applyAlignment="1" applyProtection="1">
      <alignment horizontal="left" vertical="center"/>
      <protection hidden="1"/>
    </xf>
    <xf numFmtId="0" fontId="24" fillId="0" borderId="16" xfId="0" applyFont="1" applyBorder="1" applyAlignment="1" applyProtection="1">
      <alignment horizontal="center" vertical="center"/>
      <protection hidden="1"/>
    </xf>
    <xf numFmtId="0" fontId="24" fillId="0" borderId="19" xfId="0" applyFont="1" applyBorder="1" applyAlignment="1" applyProtection="1">
      <alignment horizontal="center" vertical="center"/>
      <protection hidden="1"/>
    </xf>
    <xf numFmtId="0" fontId="24" fillId="0" borderId="20" xfId="0" applyFont="1" applyBorder="1" applyAlignment="1" applyProtection="1">
      <alignment horizontal="center" vertical="center"/>
      <protection hidden="1"/>
    </xf>
    <xf numFmtId="184" fontId="24" fillId="0" borderId="14" xfId="0" applyNumberFormat="1" applyFont="1" applyBorder="1" applyAlignment="1" applyProtection="1">
      <alignment horizontal="center" vertical="center"/>
      <protection hidden="1"/>
    </xf>
    <xf numFmtId="184" fontId="25" fillId="0" borderId="19" xfId="0" applyNumberFormat="1" applyFont="1" applyBorder="1" applyAlignment="1" applyProtection="1">
      <alignment horizontal="center" vertical="center"/>
      <protection hidden="1"/>
    </xf>
    <xf numFmtId="0" fontId="36" fillId="0" borderId="0" xfId="0" applyFont="1" applyAlignment="1" applyProtection="1">
      <alignment horizontal="center" vertical="center"/>
      <protection hidden="1"/>
    </xf>
    <xf numFmtId="182" fontId="29" fillId="0" borderId="16" xfId="0" applyNumberFormat="1" applyFont="1" applyBorder="1" applyAlignment="1" applyProtection="1">
      <alignment horizontal="center" vertical="center"/>
      <protection hidden="1"/>
    </xf>
    <xf numFmtId="0" fontId="25" fillId="0" borderId="1" xfId="0" applyFont="1" applyBorder="1" applyAlignment="1" applyProtection="1">
      <alignment horizontal="left" vertical="center"/>
      <protection hidden="1"/>
    </xf>
    <xf numFmtId="0" fontId="24" fillId="0" borderId="22" xfId="0" applyFont="1" applyBorder="1" applyAlignment="1" applyProtection="1">
      <alignment horizontal="center" vertical="center"/>
      <protection hidden="1"/>
    </xf>
    <xf numFmtId="0" fontId="37" fillId="0" borderId="1" xfId="0" applyFont="1" applyBorder="1" applyAlignment="1" applyProtection="1">
      <alignment horizontal="center" vertical="center"/>
      <protection hidden="1"/>
    </xf>
    <xf numFmtId="0" fontId="37" fillId="0" borderId="16" xfId="0" applyFont="1" applyBorder="1" applyAlignment="1" applyProtection="1">
      <alignment horizontal="center" vertical="center"/>
      <protection hidden="1"/>
    </xf>
    <xf numFmtId="0" fontId="34" fillId="0" borderId="16" xfId="0" applyFont="1" applyBorder="1" applyAlignment="1" applyProtection="1">
      <alignment horizontal="center" vertical="center"/>
      <protection hidden="1"/>
    </xf>
    <xf numFmtId="0" fontId="25" fillId="0" borderId="20" xfId="0" applyFont="1" applyBorder="1" applyAlignment="1" applyProtection="1">
      <alignment horizontal="left" vertical="center"/>
      <protection hidden="1"/>
    </xf>
    <xf numFmtId="0" fontId="24" fillId="0" borderId="3" xfId="0" applyFont="1" applyBorder="1" applyAlignment="1" applyProtection="1">
      <alignment horizontal="center" vertical="center"/>
      <protection hidden="1"/>
    </xf>
    <xf numFmtId="179" fontId="24" fillId="0" borderId="3" xfId="0" applyNumberFormat="1" applyFont="1" applyBorder="1" applyAlignment="1" applyProtection="1">
      <alignment horizontal="center" vertical="center"/>
      <protection hidden="1"/>
    </xf>
    <xf numFmtId="0" fontId="27" fillId="2" borderId="1" xfId="0" applyFont="1" applyFill="1" applyBorder="1" applyAlignment="1" applyProtection="1">
      <alignment horizontal="left" vertical="center"/>
      <protection hidden="1"/>
    </xf>
    <xf numFmtId="0" fontId="27" fillId="2" borderId="0" xfId="0" applyFont="1" applyFill="1" applyAlignment="1" applyProtection="1">
      <alignment horizontal="left" vertical="center"/>
      <protection hidden="1"/>
    </xf>
    <xf numFmtId="0" fontId="27" fillId="2" borderId="16" xfId="0" applyFont="1" applyFill="1" applyBorder="1" applyAlignment="1" applyProtection="1">
      <alignment horizontal="center" vertical="center"/>
      <protection hidden="1"/>
    </xf>
    <xf numFmtId="0" fontId="29" fillId="0" borderId="15" xfId="0" applyFont="1" applyBorder="1" applyAlignment="1" applyProtection="1">
      <alignment horizontal="left" vertical="center"/>
      <protection hidden="1"/>
    </xf>
    <xf numFmtId="0" fontId="28" fillId="0" borderId="15" xfId="0" applyFont="1" applyFill="1" applyBorder="1" applyAlignment="1" applyProtection="1">
      <alignment horizontal="left" vertical="center"/>
      <protection hidden="1"/>
    </xf>
    <xf numFmtId="183" fontId="24" fillId="0" borderId="1" xfId="0" applyNumberFormat="1" applyFont="1" applyBorder="1" applyAlignment="1" applyProtection="1">
      <alignment horizontal="center" vertical="center"/>
      <protection hidden="1"/>
    </xf>
    <xf numFmtId="0" fontId="38" fillId="0" borderId="1" xfId="0" applyFont="1" applyBorder="1" applyAlignment="1" applyProtection="1">
      <alignment horizontal="center" vertical="center"/>
      <protection hidden="1"/>
    </xf>
    <xf numFmtId="0" fontId="39" fillId="0" borderId="1" xfId="0" applyFont="1" applyBorder="1" applyAlignment="1" applyProtection="1">
      <alignment horizontal="center" vertical="center"/>
      <protection hidden="1"/>
    </xf>
    <xf numFmtId="10" fontId="39" fillId="0" borderId="1" xfId="0" applyNumberFormat="1" applyFont="1" applyBorder="1" applyAlignment="1" applyProtection="1">
      <alignment horizontal="center" vertical="center"/>
      <protection hidden="1"/>
    </xf>
    <xf numFmtId="9" fontId="24" fillId="0" borderId="1" xfId="0" applyNumberFormat="1" applyFont="1" applyBorder="1" applyAlignment="1" applyProtection="1">
      <alignment horizontal="center" vertical="center"/>
      <protection hidden="1"/>
    </xf>
    <xf numFmtId="182" fontId="23" fillId="5" borderId="0" xfId="0" applyNumberFormat="1" applyFont="1" applyFill="1" applyBorder="1" applyAlignment="1" applyProtection="1">
      <alignment horizontal="center" vertical="center"/>
      <protection hidden="1"/>
    </xf>
    <xf numFmtId="0" fontId="25" fillId="0" borderId="23" xfId="0" applyFont="1" applyBorder="1" applyAlignment="1" applyProtection="1">
      <alignment horizontal="center" vertical="center"/>
      <protection hidden="1"/>
    </xf>
    <xf numFmtId="0" fontId="32" fillId="0" borderId="1" xfId="0" applyFont="1" applyBorder="1" applyAlignment="1" applyProtection="1">
      <alignment horizontal="center" vertical="center"/>
      <protection hidden="1"/>
    </xf>
    <xf numFmtId="183" fontId="12" fillId="0" borderId="0" xfId="0" applyNumberFormat="1" applyFont="1" applyAlignment="1" applyProtection="1">
      <alignment horizontal="center" vertical="center"/>
      <protection hidden="1"/>
    </xf>
    <xf numFmtId="179" fontId="12" fillId="0" borderId="0" xfId="0" applyNumberFormat="1" applyFont="1" applyAlignment="1" applyProtection="1">
      <alignment horizontal="center" vertical="center"/>
      <protection hidden="1"/>
    </xf>
    <xf numFmtId="0" fontId="25" fillId="0" borderId="16" xfId="0" applyFont="1" applyFill="1" applyBorder="1" applyAlignment="1" applyProtection="1">
      <alignment horizontal="center" vertical="center"/>
      <protection hidden="1"/>
    </xf>
    <xf numFmtId="0" fontId="32" fillId="0" borderId="24" xfId="0" applyFont="1" applyBorder="1" applyAlignment="1" applyProtection="1">
      <alignment horizontal="center" vertical="center"/>
      <protection hidden="1"/>
    </xf>
    <xf numFmtId="0" fontId="24" fillId="0" borderId="25" xfId="0" applyFont="1" applyBorder="1" applyAlignment="1" applyProtection="1">
      <alignment horizontal="center" vertical="center"/>
      <protection hidden="1"/>
    </xf>
    <xf numFmtId="0" fontId="27" fillId="2" borderId="26" xfId="0" applyFont="1" applyFill="1" applyBorder="1" applyAlignment="1" applyProtection="1">
      <alignment horizontal="left" vertical="center"/>
      <protection hidden="1"/>
    </xf>
    <xf numFmtId="0" fontId="24" fillId="0" borderId="26" xfId="0" applyFont="1" applyBorder="1" applyAlignment="1" applyProtection="1">
      <alignment horizontal="center" vertical="center"/>
      <protection hidden="1"/>
    </xf>
    <xf numFmtId="0" fontId="32" fillId="0" borderId="27" xfId="0" applyFont="1" applyBorder="1" applyAlignment="1" applyProtection="1">
      <alignment horizontal="center" vertical="center"/>
      <protection hidden="1"/>
    </xf>
    <xf numFmtId="0" fontId="32" fillId="0" borderId="26" xfId="0" applyFont="1" applyBorder="1" applyAlignment="1" applyProtection="1">
      <alignment horizontal="center" vertical="center"/>
      <protection hidden="1"/>
    </xf>
    <xf numFmtId="0" fontId="24" fillId="0" borderId="17" xfId="0" applyNumberFormat="1" applyFont="1" applyBorder="1" applyAlignment="1" applyProtection="1">
      <alignment horizontal="center" vertical="center"/>
      <protection hidden="1"/>
    </xf>
    <xf numFmtId="0" fontId="24" fillId="0" borderId="18" xfId="0" applyNumberFormat="1" applyFont="1" applyBorder="1" applyAlignment="1" applyProtection="1">
      <alignment horizontal="center" vertical="center"/>
      <protection hidden="1"/>
    </xf>
    <xf numFmtId="0" fontId="24" fillId="0" borderId="21" xfId="0" applyNumberFormat="1" applyFont="1" applyBorder="1" applyAlignment="1" applyProtection="1">
      <alignment horizontal="center" vertical="center"/>
      <protection hidden="1"/>
    </xf>
    <xf numFmtId="0" fontId="40" fillId="2" borderId="26" xfId="0" applyFont="1" applyFill="1" applyBorder="1" applyAlignment="1" applyProtection="1">
      <alignment horizontal="left" vertical="center"/>
      <protection hidden="1"/>
    </xf>
    <xf numFmtId="0" fontId="25" fillId="0" borderId="16" xfId="0" applyFont="1" applyBorder="1" applyAlignment="1" applyProtection="1">
      <alignment horizontal="left" vertical="center"/>
      <protection hidden="1"/>
    </xf>
    <xf numFmtId="176" fontId="24" fillId="0" borderId="20" xfId="0" applyNumberFormat="1" applyFont="1" applyBorder="1" applyAlignment="1" applyProtection="1">
      <alignment horizontal="center" vertical="center"/>
      <protection hidden="1"/>
    </xf>
    <xf numFmtId="184" fontId="25" fillId="0" borderId="20" xfId="0" applyNumberFormat="1" applyFont="1" applyBorder="1" applyAlignment="1" applyProtection="1">
      <alignment horizontal="center" vertical="center"/>
      <protection hidden="1"/>
    </xf>
    <xf numFmtId="0" fontId="24" fillId="0" borderId="20" xfId="0" applyNumberFormat="1" applyFont="1" applyBorder="1" applyAlignment="1" applyProtection="1">
      <alignment horizontal="center" vertical="center"/>
      <protection hidden="1"/>
    </xf>
    <xf numFmtId="0" fontId="25" fillId="0" borderId="11" xfId="0" applyFont="1" applyBorder="1" applyAlignment="1" applyProtection="1">
      <alignment horizontal="center" vertical="center"/>
      <protection hidden="1"/>
    </xf>
    <xf numFmtId="0" fontId="25" fillId="0" borderId="11" xfId="0" applyFont="1" applyBorder="1" applyAlignment="1" applyProtection="1">
      <alignment horizontal="left" vertical="center"/>
      <protection hidden="1"/>
    </xf>
    <xf numFmtId="176" fontId="25" fillId="0" borderId="11" xfId="0" applyNumberFormat="1" applyFont="1" applyBorder="1" applyAlignment="1" applyProtection="1">
      <alignment horizontal="center" vertical="center"/>
      <protection hidden="1"/>
    </xf>
    <xf numFmtId="0" fontId="24" fillId="0" borderId="11" xfId="0" applyNumberFormat="1" applyFont="1" applyBorder="1" applyAlignment="1" applyProtection="1">
      <alignment horizontal="center" vertical="center"/>
      <protection hidden="1"/>
    </xf>
    <xf numFmtId="0" fontId="25" fillId="0" borderId="20" xfId="0" applyFont="1" applyBorder="1" applyAlignment="1" applyProtection="1">
      <alignment horizontal="center" vertical="center"/>
      <protection hidden="1"/>
    </xf>
    <xf numFmtId="176" fontId="25" fillId="0" borderId="20" xfId="0" applyNumberFormat="1" applyFont="1" applyBorder="1" applyAlignment="1" applyProtection="1">
      <alignment horizontal="center" vertical="center"/>
      <protection hidden="1"/>
    </xf>
    <xf numFmtId="0" fontId="25" fillId="0" borderId="20" xfId="0" applyNumberFormat="1" applyFont="1" applyBorder="1" applyAlignment="1" applyProtection="1">
      <alignment horizontal="center" vertical="center"/>
      <protection hidden="1"/>
    </xf>
    <xf numFmtId="0" fontId="24" fillId="0" borderId="16" xfId="0" applyFont="1" applyBorder="1" applyAlignment="1" applyProtection="1">
      <alignment horizontal="left" vertical="center"/>
      <protection hidden="1"/>
    </xf>
    <xf numFmtId="180" fontId="24" fillId="0" borderId="20" xfId="0" applyNumberFormat="1" applyFont="1" applyBorder="1" applyAlignment="1" applyProtection="1">
      <alignment horizontal="center" vertical="center"/>
      <protection hidden="1"/>
    </xf>
    <xf numFmtId="0" fontId="24" fillId="0" borderId="11" xfId="0" applyFont="1" applyBorder="1" applyAlignment="1" applyProtection="1">
      <alignment horizontal="left" vertical="center"/>
      <protection hidden="1"/>
    </xf>
    <xf numFmtId="183" fontId="24" fillId="0" borderId="20" xfId="0" applyNumberFormat="1" applyFont="1" applyBorder="1" applyAlignment="1" applyProtection="1">
      <alignment horizontal="center" vertical="center"/>
      <protection hidden="1"/>
    </xf>
    <xf numFmtId="183" fontId="25" fillId="0" borderId="20" xfId="0" applyNumberFormat="1" applyFont="1" applyBorder="1" applyAlignment="1" applyProtection="1">
      <alignment horizontal="center" vertical="center"/>
      <protection hidden="1"/>
    </xf>
    <xf numFmtId="187" fontId="32" fillId="0" borderId="25" xfId="0" applyNumberFormat="1" applyFont="1" applyBorder="1" applyAlignment="1" applyProtection="1">
      <alignment horizontal="center" vertical="center"/>
      <protection hidden="1"/>
    </xf>
    <xf numFmtId="0" fontId="6" fillId="7" borderId="7" xfId="0" applyFont="1" applyFill="1" applyBorder="1" applyAlignment="1" applyProtection="1">
      <alignment horizontal="center" vertical="center"/>
      <protection locked="0" hidden="1"/>
    </xf>
    <xf numFmtId="188" fontId="17" fillId="5" borderId="0" xfId="0" applyNumberFormat="1" applyFont="1" applyFill="1" applyBorder="1" applyAlignment="1" applyProtection="1">
      <alignment horizontal="center" vertical="center" wrapText="1"/>
      <protection hidden="1"/>
    </xf>
    <xf numFmtId="0" fontId="16" fillId="0" borderId="0" xfId="0" applyFont="1" applyBorder="1" applyAlignment="1" applyProtection="1">
      <alignment horizontal="center" vertical="center"/>
      <protection locked="0" hidden="1"/>
    </xf>
    <xf numFmtId="0" fontId="33" fillId="0" borderId="0" xfId="0" applyFont="1" applyBorder="1" applyAlignment="1" applyProtection="1">
      <alignment horizontal="center" vertical="center"/>
      <protection locked="0" hidden="1"/>
    </xf>
    <xf numFmtId="0" fontId="41" fillId="0" borderId="0" xfId="0" applyFont="1" applyBorder="1" applyAlignment="1" applyProtection="1">
      <alignment horizontal="center" vertical="center"/>
      <protection hidden="1"/>
    </xf>
    <xf numFmtId="189" fontId="14" fillId="0" borderId="9" xfId="0" applyNumberFormat="1" applyFont="1" applyBorder="1" applyAlignment="1" applyProtection="1">
      <alignment horizontal="right" vertical="center"/>
      <protection locked="0" hidden="1"/>
    </xf>
    <xf numFmtId="0" fontId="14" fillId="0" borderId="9" xfId="0" applyFont="1" applyBorder="1" applyAlignment="1" applyProtection="1">
      <alignment horizontal="right" vertical="center"/>
      <protection locked="0" hidden="1"/>
    </xf>
    <xf numFmtId="0" fontId="6" fillId="3" borderId="35" xfId="0" applyFont="1" applyFill="1" applyBorder="1" applyAlignment="1" applyProtection="1">
      <alignment horizontal="center" vertical="center"/>
      <protection hidden="1"/>
    </xf>
    <xf numFmtId="188" fontId="17" fillId="5" borderId="36" xfId="0" applyNumberFormat="1" applyFont="1" applyFill="1" applyBorder="1" applyAlignment="1" applyProtection="1">
      <alignment horizontal="center" vertical="center" wrapText="1"/>
      <protection hidden="1"/>
    </xf>
    <xf numFmtId="0" fontId="25" fillId="0" borderId="1" xfId="0" applyFont="1" applyBorder="1" applyAlignment="1" applyProtection="1">
      <alignment horizontal="center" vertical="center"/>
      <protection locked="0" hidden="1"/>
    </xf>
    <xf numFmtId="0" fontId="25" fillId="0" borderId="0" xfId="0" applyFont="1" applyBorder="1" applyAlignment="1" applyProtection="1">
      <alignment horizontal="left" vertical="center"/>
      <protection hidden="1"/>
    </xf>
    <xf numFmtId="0" fontId="25" fillId="0" borderId="0" xfId="0" applyFont="1" applyBorder="1" applyAlignment="1" applyProtection="1">
      <alignment horizontal="left" vertical="center"/>
      <protection locked="0" hidden="1"/>
    </xf>
    <xf numFmtId="0" fontId="24" fillId="0" borderId="0" xfId="0" applyFont="1" applyBorder="1" applyAlignment="1" applyProtection="1">
      <alignment horizontal="left" vertical="center"/>
      <protection locked="0" hidden="1"/>
    </xf>
    <xf numFmtId="0" fontId="43" fillId="0" borderId="0" xfId="0" applyFont="1" applyFill="1" applyBorder="1" applyAlignment="1" applyProtection="1">
      <alignment vertical="center"/>
      <protection hidden="1"/>
    </xf>
    <xf numFmtId="0" fontId="17" fillId="0" borderId="0" xfId="0" applyFont="1" applyFill="1" applyBorder="1" applyAlignment="1" applyProtection="1">
      <alignment horizontal="center" vertical="center"/>
      <protection hidden="1"/>
    </xf>
    <xf numFmtId="0" fontId="17" fillId="0" borderId="0" xfId="0" applyFont="1" applyAlignment="1" applyProtection="1">
      <alignment vertical="center"/>
      <protection hidden="1"/>
    </xf>
    <xf numFmtId="0" fontId="13" fillId="0" borderId="0" xfId="0" applyFont="1" applyAlignment="1" applyProtection="1">
      <alignment horizontal="center" vertical="center"/>
      <protection locked="0" hidden="1"/>
    </xf>
    <xf numFmtId="0" fontId="17" fillId="0" borderId="0" xfId="0" applyFont="1" applyBorder="1" applyAlignment="1" applyProtection="1">
      <alignment horizontal="right" vertical="center"/>
      <protection hidden="1"/>
    </xf>
    <xf numFmtId="0" fontId="24" fillId="0" borderId="37" xfId="0" applyFont="1" applyBorder="1" applyAlignment="1" applyProtection="1">
      <alignment horizontal="center" vertical="center"/>
      <protection hidden="1"/>
    </xf>
    <xf numFmtId="182" fontId="12" fillId="0" borderId="0" xfId="0" applyNumberFormat="1" applyFont="1" applyAlignment="1" applyProtection="1">
      <alignment horizontal="center" vertical="center"/>
      <protection hidden="1"/>
    </xf>
    <xf numFmtId="0" fontId="44" fillId="0" borderId="0" xfId="0" applyFont="1" applyAlignment="1" applyProtection="1">
      <alignment horizontal="center" vertical="center"/>
      <protection hidden="1"/>
    </xf>
    <xf numFmtId="10" fontId="44" fillId="0" borderId="0" xfId="0" applyNumberFormat="1" applyFont="1" applyAlignment="1" applyProtection="1">
      <alignment horizontal="center" vertical="center"/>
      <protection hidden="1"/>
    </xf>
    <xf numFmtId="0" fontId="12" fillId="0" borderId="0" xfId="0" applyFont="1" applyAlignment="1" applyProtection="1">
      <alignment horizontal="left" vertical="center"/>
      <protection hidden="1"/>
    </xf>
    <xf numFmtId="187" fontId="32" fillId="0" borderId="14" xfId="0" applyNumberFormat="1" applyFont="1" applyBorder="1" applyAlignment="1" applyProtection="1">
      <alignment horizontal="center" vertical="center"/>
      <protection hidden="1"/>
    </xf>
    <xf numFmtId="0" fontId="32" fillId="0" borderId="18" xfId="0" applyFont="1" applyBorder="1" applyAlignment="1" applyProtection="1">
      <alignment horizontal="center" vertical="center"/>
      <protection hidden="1"/>
    </xf>
    <xf numFmtId="187" fontId="12" fillId="0" borderId="14" xfId="0" applyNumberFormat="1" applyFont="1" applyBorder="1" applyAlignment="1" applyProtection="1">
      <alignment horizontal="center" vertical="center"/>
      <protection hidden="1"/>
    </xf>
    <xf numFmtId="187" fontId="12" fillId="0" borderId="19" xfId="0" applyNumberFormat="1" applyFont="1" applyBorder="1" applyAlignment="1" applyProtection="1">
      <alignment horizontal="center" vertical="center"/>
      <protection hidden="1"/>
    </xf>
    <xf numFmtId="190" fontId="24" fillId="0" borderId="1" xfId="0" applyNumberFormat="1" applyFont="1" applyBorder="1" applyAlignment="1" applyProtection="1">
      <alignment horizontal="center" vertical="center"/>
      <protection hidden="1"/>
    </xf>
    <xf numFmtId="180" fontId="24" fillId="0" borderId="1" xfId="0" applyNumberFormat="1" applyFont="1" applyBorder="1" applyAlignment="1" applyProtection="1">
      <alignment horizontal="center" vertical="center"/>
      <protection hidden="1"/>
    </xf>
    <xf numFmtId="180" fontId="24" fillId="0" borderId="11" xfId="0" applyNumberFormat="1" applyFont="1" applyBorder="1" applyAlignment="1" applyProtection="1">
      <alignment horizontal="center" vertical="center"/>
      <protection hidden="1"/>
    </xf>
    <xf numFmtId="180" fontId="24" fillId="0" borderId="16" xfId="0" applyNumberFormat="1" applyFont="1" applyBorder="1" applyAlignment="1" applyProtection="1">
      <alignment horizontal="center" vertical="center"/>
      <protection hidden="1"/>
    </xf>
    <xf numFmtId="180" fontId="27" fillId="2" borderId="1" xfId="0" applyNumberFormat="1" applyFont="1" applyFill="1" applyBorder="1" applyAlignment="1" applyProtection="1">
      <alignment horizontal="center" vertical="center"/>
      <protection hidden="1"/>
    </xf>
    <xf numFmtId="0" fontId="24" fillId="0" borderId="38" xfId="0" applyFont="1" applyBorder="1" applyAlignment="1" applyProtection="1">
      <alignment horizontal="center" vertical="center"/>
      <protection hidden="1"/>
    </xf>
    <xf numFmtId="0" fontId="27" fillId="2" borderId="38" xfId="0" applyFont="1" applyFill="1" applyBorder="1" applyAlignment="1" applyProtection="1">
      <alignment horizontal="center" vertical="center"/>
      <protection hidden="1"/>
    </xf>
    <xf numFmtId="0" fontId="28" fillId="0" borderId="41" xfId="0" applyFont="1" applyFill="1" applyBorder="1" applyAlignment="1" applyProtection="1">
      <alignment horizontal="center" vertical="center"/>
      <protection hidden="1"/>
    </xf>
    <xf numFmtId="0" fontId="24" fillId="0" borderId="41" xfId="0" applyFont="1" applyBorder="1" applyAlignment="1" applyProtection="1">
      <alignment horizontal="center" vertical="center"/>
      <protection hidden="1"/>
    </xf>
    <xf numFmtId="0" fontId="24" fillId="0" borderId="42" xfId="0" applyFont="1" applyBorder="1" applyAlignment="1" applyProtection="1">
      <alignment horizontal="center" vertical="center"/>
      <protection hidden="1"/>
    </xf>
    <xf numFmtId="0" fontId="28" fillId="0" borderId="43" xfId="0" applyFont="1" applyFill="1" applyBorder="1" applyAlignment="1" applyProtection="1">
      <alignment horizontal="center" vertical="center"/>
      <protection hidden="1"/>
    </xf>
    <xf numFmtId="0" fontId="27" fillId="6" borderId="41" xfId="0" applyFont="1" applyFill="1" applyBorder="1" applyAlignment="1" applyProtection="1">
      <alignment horizontal="left" vertical="center"/>
      <protection hidden="1"/>
    </xf>
    <xf numFmtId="0" fontId="24" fillId="0" borderId="41" xfId="0" applyFont="1" applyBorder="1" applyAlignment="1" applyProtection="1">
      <alignment horizontal="left" vertical="center"/>
      <protection hidden="1"/>
    </xf>
    <xf numFmtId="0" fontId="24" fillId="0" borderId="44" xfId="0" applyFont="1" applyBorder="1" applyAlignment="1" applyProtection="1">
      <alignment horizontal="center" vertical="center"/>
      <protection hidden="1"/>
    </xf>
    <xf numFmtId="0" fontId="24" fillId="0" borderId="45" xfId="0" applyFont="1" applyBorder="1" applyAlignment="1" applyProtection="1">
      <alignment horizontal="center" vertical="center"/>
      <protection hidden="1"/>
    </xf>
    <xf numFmtId="0" fontId="36" fillId="0" borderId="38" xfId="0" applyFont="1" applyBorder="1" applyAlignment="1" applyProtection="1">
      <alignment horizontal="left" vertical="center"/>
      <protection hidden="1"/>
    </xf>
    <xf numFmtId="0" fontId="24" fillId="0" borderId="46" xfId="0" applyFont="1" applyBorder="1" applyAlignment="1" applyProtection="1">
      <alignment horizontal="center" vertical="center"/>
      <protection hidden="1"/>
    </xf>
    <xf numFmtId="0" fontId="28" fillId="0" borderId="43" xfId="0" applyFont="1" applyBorder="1" applyAlignment="1" applyProtection="1">
      <alignment horizontal="center" vertical="center"/>
      <protection hidden="1"/>
    </xf>
    <xf numFmtId="0" fontId="25" fillId="0" borderId="46" xfId="0" applyFont="1" applyBorder="1" applyAlignment="1" applyProtection="1">
      <alignment horizontal="center" vertical="center"/>
      <protection hidden="1"/>
    </xf>
    <xf numFmtId="0" fontId="29" fillId="0" borderId="43" xfId="0" applyFont="1" applyBorder="1" applyAlignment="1" applyProtection="1">
      <alignment horizontal="center" vertical="center"/>
      <protection hidden="1"/>
    </xf>
    <xf numFmtId="0" fontId="25" fillId="0" borderId="41" xfId="0" applyFont="1" applyBorder="1" applyAlignment="1" applyProtection="1">
      <alignment horizontal="center" vertical="center"/>
      <protection hidden="1"/>
    </xf>
    <xf numFmtId="183" fontId="24" fillId="0" borderId="46" xfId="0" applyNumberFormat="1" applyFont="1" applyBorder="1" applyAlignment="1" applyProtection="1">
      <alignment horizontal="center" vertical="center"/>
      <protection hidden="1"/>
    </xf>
    <xf numFmtId="0" fontId="24" fillId="0" borderId="47" xfId="0" applyFont="1" applyBorder="1" applyAlignment="1" applyProtection="1">
      <alignment horizontal="center" vertical="center"/>
      <protection hidden="1"/>
    </xf>
    <xf numFmtId="0" fontId="31" fillId="2" borderId="38" xfId="0" applyFont="1" applyFill="1" applyBorder="1" applyAlignment="1" applyProtection="1">
      <alignment horizontal="center" vertical="center"/>
      <protection hidden="1"/>
    </xf>
    <xf numFmtId="0" fontId="24" fillId="0" borderId="48" xfId="0" applyFont="1" applyBorder="1" applyAlignment="1" applyProtection="1">
      <alignment horizontal="center" vertical="center"/>
      <protection hidden="1"/>
    </xf>
    <xf numFmtId="0" fontId="32" fillId="0" borderId="38" xfId="0" applyFont="1" applyBorder="1" applyAlignment="1" applyProtection="1">
      <alignment horizontal="center" vertical="center"/>
      <protection hidden="1"/>
    </xf>
    <xf numFmtId="0" fontId="32" fillId="0" borderId="38" xfId="0" applyFont="1" applyBorder="1" applyAlignment="1" applyProtection="1">
      <alignment horizontal="left" vertical="center"/>
      <protection hidden="1"/>
    </xf>
    <xf numFmtId="0" fontId="12" fillId="0" borderId="38" xfId="0" applyFont="1" applyBorder="1" applyAlignment="1" applyProtection="1">
      <alignment horizontal="left" vertical="center"/>
      <protection hidden="1"/>
    </xf>
    <xf numFmtId="0" fontId="12" fillId="0" borderId="38" xfId="0" applyFont="1" applyBorder="1" applyAlignment="1" applyProtection="1">
      <alignment horizontal="center" vertical="center"/>
      <protection hidden="1"/>
    </xf>
    <xf numFmtId="180" fontId="24" fillId="0" borderId="38" xfId="0" applyNumberFormat="1" applyFont="1" applyBorder="1" applyAlignment="1" applyProtection="1">
      <alignment horizontal="center" vertical="center"/>
      <protection hidden="1"/>
    </xf>
    <xf numFmtId="0" fontId="13" fillId="0" borderId="0" xfId="0" applyFont="1" applyAlignment="1" applyProtection="1">
      <alignment horizontal="right" vertical="center"/>
      <protection locked="0" hidden="1"/>
    </xf>
    <xf numFmtId="0" fontId="24" fillId="0" borderId="1" xfId="0" applyNumberFormat="1" applyFont="1" applyBorder="1" applyAlignment="1" applyProtection="1">
      <alignment horizontal="center" vertical="center"/>
      <protection hidden="1"/>
    </xf>
    <xf numFmtId="0" fontId="45" fillId="0" borderId="0" xfId="0" applyFont="1" applyAlignment="1" applyProtection="1">
      <alignment horizontal="center" vertical="center"/>
      <protection hidden="1"/>
    </xf>
    <xf numFmtId="10" fontId="13" fillId="0" borderId="0" xfId="0" applyNumberFormat="1" applyFont="1" applyAlignment="1" applyProtection="1">
      <alignment horizontal="center" vertical="center"/>
      <protection locked="0" hidden="1"/>
    </xf>
    <xf numFmtId="191" fontId="24" fillId="0" borderId="41" xfId="0" applyNumberFormat="1" applyFont="1" applyBorder="1" applyAlignment="1" applyProtection="1">
      <alignment horizontal="center" vertical="center"/>
      <protection hidden="1"/>
    </xf>
    <xf numFmtId="191" fontId="24" fillId="0" borderId="1" xfId="0" applyNumberFormat="1" applyFont="1" applyBorder="1" applyAlignment="1" applyProtection="1">
      <alignment horizontal="center" vertical="center"/>
      <protection hidden="1"/>
    </xf>
    <xf numFmtId="191" fontId="24" fillId="0" borderId="0" xfId="0" applyNumberFormat="1" applyFont="1" applyAlignment="1" applyProtection="1">
      <alignment horizontal="center" vertical="center"/>
      <protection hidden="1"/>
    </xf>
    <xf numFmtId="191" fontId="30" fillId="0" borderId="1" xfId="0" applyNumberFormat="1" applyFont="1" applyBorder="1" applyAlignment="1" applyProtection="1">
      <alignment horizontal="center" vertical="center"/>
      <protection hidden="1"/>
    </xf>
    <xf numFmtId="191" fontId="24" fillId="0" borderId="10" xfId="0" applyNumberFormat="1" applyFont="1" applyBorder="1" applyAlignment="1" applyProtection="1">
      <alignment horizontal="center" vertical="center"/>
      <protection hidden="1"/>
    </xf>
    <xf numFmtId="191" fontId="25" fillId="0" borderId="1" xfId="0" applyNumberFormat="1" applyFont="1" applyBorder="1" applyAlignment="1" applyProtection="1">
      <alignment horizontal="left" vertical="center"/>
      <protection hidden="1"/>
    </xf>
    <xf numFmtId="191" fontId="24" fillId="0" borderId="20" xfId="0" applyNumberFormat="1" applyFont="1" applyBorder="1" applyAlignment="1" applyProtection="1">
      <alignment horizontal="center" vertical="center"/>
      <protection hidden="1"/>
    </xf>
    <xf numFmtId="191" fontId="25" fillId="0" borderId="20" xfId="0" applyNumberFormat="1" applyFont="1" applyBorder="1" applyAlignment="1" applyProtection="1">
      <alignment horizontal="left" vertical="center"/>
      <protection hidden="1"/>
    </xf>
    <xf numFmtId="191" fontId="24" fillId="0" borderId="22" xfId="0" applyNumberFormat="1" applyFont="1" applyBorder="1" applyAlignment="1" applyProtection="1">
      <alignment horizontal="center" vertical="center"/>
      <protection hidden="1"/>
    </xf>
    <xf numFmtId="191" fontId="25" fillId="0" borderId="22" xfId="0" applyNumberFormat="1" applyFont="1" applyBorder="1" applyAlignment="1" applyProtection="1">
      <alignment horizontal="left" vertical="center"/>
      <protection hidden="1"/>
    </xf>
    <xf numFmtId="191" fontId="25" fillId="0" borderId="1" xfId="0" applyNumberFormat="1" applyFont="1" applyBorder="1" applyAlignment="1" applyProtection="1">
      <alignment horizontal="center" vertical="center"/>
      <protection hidden="1"/>
    </xf>
    <xf numFmtId="191" fontId="24" fillId="0" borderId="1" xfId="0" applyNumberFormat="1" applyFont="1" applyBorder="1" applyAlignment="1" applyProtection="1">
      <alignment horizontal="left" vertical="center"/>
      <protection hidden="1"/>
    </xf>
    <xf numFmtId="191" fontId="24" fillId="0" borderId="20" xfId="0" applyNumberFormat="1" applyFont="1" applyBorder="1" applyAlignment="1" applyProtection="1">
      <alignment horizontal="left" vertical="center"/>
      <protection hidden="1"/>
    </xf>
    <xf numFmtId="191" fontId="32" fillId="0" borderId="1" xfId="0" applyNumberFormat="1" applyFont="1" applyBorder="1" applyAlignment="1" applyProtection="1">
      <alignment horizontal="center" vertical="center"/>
      <protection hidden="1"/>
    </xf>
    <xf numFmtId="191" fontId="12" fillId="0" borderId="1" xfId="0" applyNumberFormat="1" applyFont="1" applyBorder="1" applyAlignment="1" applyProtection="1">
      <alignment horizontal="center" vertical="center"/>
      <protection hidden="1"/>
    </xf>
    <xf numFmtId="191" fontId="24" fillId="0" borderId="37" xfId="0" applyNumberFormat="1" applyFont="1" applyBorder="1" applyAlignment="1" applyProtection="1">
      <alignment horizontal="center" vertical="center"/>
      <protection hidden="1"/>
    </xf>
    <xf numFmtId="191" fontId="24" fillId="0" borderId="11" xfId="0" applyNumberFormat="1" applyFont="1" applyBorder="1" applyAlignment="1" applyProtection="1">
      <alignment horizontal="center" vertical="center"/>
      <protection hidden="1"/>
    </xf>
    <xf numFmtId="191" fontId="24" fillId="0" borderId="39" xfId="0" applyNumberFormat="1" applyFont="1" applyBorder="1" applyAlignment="1" applyProtection="1">
      <alignment horizontal="center" vertical="center"/>
      <protection hidden="1"/>
    </xf>
    <xf numFmtId="191" fontId="24" fillId="0" borderId="16" xfId="0" applyNumberFormat="1" applyFont="1" applyBorder="1" applyAlignment="1" applyProtection="1">
      <alignment horizontal="center" vertical="center"/>
      <protection hidden="1"/>
    </xf>
    <xf numFmtId="191" fontId="24" fillId="0" borderId="40" xfId="0" applyNumberFormat="1" applyFont="1" applyBorder="1" applyAlignment="1" applyProtection="1">
      <alignment horizontal="center" vertical="center"/>
      <protection hidden="1"/>
    </xf>
    <xf numFmtId="192" fontId="25" fillId="0" borderId="41" xfId="0" applyNumberFormat="1" applyFont="1" applyBorder="1" applyAlignment="1" applyProtection="1">
      <alignment horizontal="center" vertical="center"/>
      <protection hidden="1"/>
    </xf>
    <xf numFmtId="192" fontId="24" fillId="0" borderId="1" xfId="0" applyNumberFormat="1" applyFont="1" applyBorder="1" applyAlignment="1" applyProtection="1">
      <alignment horizontal="center" vertical="center"/>
      <protection hidden="1"/>
    </xf>
    <xf numFmtId="192" fontId="24" fillId="0" borderId="1" xfId="0" applyNumberFormat="1" applyFont="1" applyBorder="1" applyAlignment="1" applyProtection="1">
      <alignment horizontal="left" vertical="center"/>
      <protection hidden="1"/>
    </xf>
    <xf numFmtId="192" fontId="25" fillId="0" borderId="1" xfId="0" applyNumberFormat="1" applyFont="1" applyBorder="1" applyAlignment="1" applyProtection="1">
      <alignment horizontal="center" vertical="center"/>
      <protection hidden="1"/>
    </xf>
    <xf numFmtId="0" fontId="46" fillId="4" borderId="29" xfId="0" applyFont="1" applyFill="1" applyBorder="1" applyAlignment="1" applyProtection="1">
      <alignment horizontal="left" vertical="center"/>
      <protection hidden="1"/>
    </xf>
    <xf numFmtId="0" fontId="12" fillId="0" borderId="29" xfId="0" applyFont="1" applyBorder="1" applyAlignment="1" applyProtection="1">
      <alignment horizontal="center" vertical="center"/>
      <protection hidden="1"/>
    </xf>
    <xf numFmtId="0" fontId="45" fillId="0" borderId="29" xfId="0" applyFont="1" applyBorder="1" applyAlignment="1" applyProtection="1">
      <alignment horizontal="center" vertical="center"/>
      <protection hidden="1"/>
    </xf>
    <xf numFmtId="189" fontId="25" fillId="0" borderId="20" xfId="0" applyNumberFormat="1" applyFont="1" applyBorder="1" applyAlignment="1" applyProtection="1">
      <alignment horizontal="center" vertical="center"/>
      <protection hidden="1"/>
    </xf>
    <xf numFmtId="193" fontId="24" fillId="0" borderId="0" xfId="0" applyNumberFormat="1" applyFont="1" applyAlignment="1" applyProtection="1">
      <alignment horizontal="center" vertical="center"/>
      <protection hidden="1"/>
    </xf>
    <xf numFmtId="0" fontId="35" fillId="0" borderId="28" xfId="0" applyFont="1" applyBorder="1" applyAlignment="1" applyProtection="1">
      <alignment horizontal="left" vertical="top" wrapText="1"/>
      <protection hidden="1"/>
    </xf>
    <xf numFmtId="0" fontId="35" fillId="0" borderId="29" xfId="0" applyFont="1" applyBorder="1" applyAlignment="1" applyProtection="1">
      <alignment horizontal="left" vertical="top" wrapText="1"/>
      <protection hidden="1"/>
    </xf>
    <xf numFmtId="0" fontId="35" fillId="0" borderId="30" xfId="0" applyFont="1" applyBorder="1" applyAlignment="1" applyProtection="1">
      <alignment horizontal="left" vertical="top" wrapText="1"/>
      <protection hidden="1"/>
    </xf>
    <xf numFmtId="0" fontId="35" fillId="0" borderId="31" xfId="0" applyFont="1" applyBorder="1" applyAlignment="1" applyProtection="1">
      <alignment horizontal="left" vertical="top" wrapText="1"/>
      <protection hidden="1"/>
    </xf>
    <xf numFmtId="0" fontId="35" fillId="0" borderId="0" xfId="0" applyFont="1" applyBorder="1" applyAlignment="1" applyProtection="1">
      <alignment horizontal="left" vertical="top" wrapText="1"/>
      <protection hidden="1"/>
    </xf>
    <xf numFmtId="0" fontId="35" fillId="0" borderId="32" xfId="0" applyFont="1" applyBorder="1" applyAlignment="1" applyProtection="1">
      <alignment horizontal="left" vertical="top" wrapText="1"/>
      <protection hidden="1"/>
    </xf>
    <xf numFmtId="0" fontId="35" fillId="0" borderId="33" xfId="0" applyFont="1" applyBorder="1" applyAlignment="1" applyProtection="1">
      <alignment horizontal="left" vertical="top" wrapText="1"/>
      <protection hidden="1"/>
    </xf>
    <xf numFmtId="0" fontId="35" fillId="0" borderId="4" xfId="0" applyFont="1" applyBorder="1" applyAlignment="1" applyProtection="1">
      <alignment horizontal="left" vertical="top" wrapText="1"/>
      <protection hidden="1"/>
    </xf>
    <xf numFmtId="0" fontId="35" fillId="0" borderId="34" xfId="0" applyFont="1" applyBorder="1" applyAlignment="1" applyProtection="1">
      <alignment horizontal="left" vertical="top" wrapText="1"/>
      <protection hidden="1"/>
    </xf>
  </cellXfs>
  <cellStyles count="1">
    <cellStyle name="常规" xfId="0" builtinId="0"/>
  </cellStyles>
  <dxfs count="0"/>
  <tableStyles count="0" defaultTableStyle="TableStyleMedium2" defaultPivotStyle="PivotStyleMedium9"/>
  <colors>
    <mruColors>
      <color rgb="FFCCECFF"/>
      <color rgb="FFFF00FF"/>
      <color rgb="FF33CCCC"/>
      <color rgb="FF660033"/>
      <color rgb="FF777777"/>
      <color rgb="FF808080"/>
      <color rgb="FF6666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checked="Checked" fmlaLink="$B$63" lockText="1"/>
</file>

<file path=xl/ctrlProps/ctrlProp10.xml><?xml version="1.0" encoding="utf-8"?>
<formControlPr xmlns="http://schemas.microsoft.com/office/spreadsheetml/2009/9/main" objectType="CheckBox" fmlaLink="$B$70" lockText="1"/>
</file>

<file path=xl/ctrlProps/ctrlProp11.xml><?xml version="1.0" encoding="utf-8"?>
<formControlPr xmlns="http://schemas.microsoft.com/office/spreadsheetml/2009/9/main" objectType="CheckBox" fmlaLink="$B$71" lockText="1"/>
</file>

<file path=xl/ctrlProps/ctrlProp12.xml><?xml version="1.0" encoding="utf-8"?>
<formControlPr xmlns="http://schemas.microsoft.com/office/spreadsheetml/2009/9/main" objectType="CheckBox" fmlaLink="$B$72" lockText="1"/>
</file>

<file path=xl/ctrlProps/ctrlProp13.xml><?xml version="1.0" encoding="utf-8"?>
<formControlPr xmlns="http://schemas.microsoft.com/office/spreadsheetml/2009/9/main" objectType="CheckBox" fmlaLink="$B$73" lockText="1"/>
</file>

<file path=xl/ctrlProps/ctrlProp14.xml><?xml version="1.0" encoding="utf-8"?>
<formControlPr xmlns="http://schemas.microsoft.com/office/spreadsheetml/2009/9/main" objectType="CheckBox" checked="Checked" fmlaLink="$B$61" lockText="1"/>
</file>

<file path=xl/ctrlProps/ctrlProp2.xml><?xml version="1.0" encoding="utf-8"?>
<formControlPr xmlns="http://schemas.microsoft.com/office/spreadsheetml/2009/9/main" objectType="CheckBox" checked="Checked" fmlaLink="$B$59" lockText="1"/>
</file>

<file path=xl/ctrlProps/ctrlProp3.xml><?xml version="1.0" encoding="utf-8"?>
<formControlPr xmlns="http://schemas.microsoft.com/office/spreadsheetml/2009/9/main" objectType="CheckBox" fmlaLink="$B$65" lockText="1"/>
</file>

<file path=xl/ctrlProps/ctrlProp4.xml><?xml version="1.0" encoding="utf-8"?>
<formControlPr xmlns="http://schemas.microsoft.com/office/spreadsheetml/2009/9/main" objectType="CheckBox" fmlaLink="$B$66" lockText="1"/>
</file>

<file path=xl/ctrlProps/ctrlProp5.xml><?xml version="1.0" encoding="utf-8"?>
<formControlPr xmlns="http://schemas.microsoft.com/office/spreadsheetml/2009/9/main" objectType="CheckBox" fmlaLink="$B$68" lockText="1"/>
</file>

<file path=xl/ctrlProps/ctrlProp6.xml><?xml version="1.0" encoding="utf-8"?>
<formControlPr xmlns="http://schemas.microsoft.com/office/spreadsheetml/2009/9/main" objectType="CheckBox" fmlaLink="$B$69" lockText="1"/>
</file>

<file path=xl/ctrlProps/ctrlProp7.xml><?xml version="1.0" encoding="utf-8"?>
<formControlPr xmlns="http://schemas.microsoft.com/office/spreadsheetml/2009/9/main" objectType="CheckBox" checked="Checked" fmlaLink="$B$64" lockText="1"/>
</file>

<file path=xl/ctrlProps/ctrlProp8.xml><?xml version="1.0" encoding="utf-8"?>
<formControlPr xmlns="http://schemas.microsoft.com/office/spreadsheetml/2009/9/main" objectType="CheckBox" checked="Checked" fmlaLink="$B$60" lockText="1"/>
</file>

<file path=xl/ctrlProps/ctrlProp9.xml><?xml version="1.0" encoding="utf-8"?>
<formControlPr xmlns="http://schemas.microsoft.com/office/spreadsheetml/2009/9/main" objectType="CheckBox" fmlaLink="$B$67" lockText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495300</xdr:colOff>
          <xdr:row>7</xdr:row>
          <xdr:rowOff>9525</xdr:rowOff>
        </xdr:from>
        <xdr:to>
          <xdr:col>16</xdr:col>
          <xdr:colOff>695325</xdr:colOff>
          <xdr:row>8</xdr:row>
          <xdr:rowOff>0</xdr:rowOff>
        </xdr:to>
        <xdr:sp macro="" textlink="">
          <xdr:nvSpPr>
            <xdr:cNvPr id="3130" name="Check Box 58" hidden="1">
              <a:extLst>
                <a:ext uri="{63B3BB69-23CF-44E3-9099-C40C66FF867C}">
                  <a14:compatExt spid="_x0000_s313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352425</xdr:colOff>
          <xdr:row>7</xdr:row>
          <xdr:rowOff>9525</xdr:rowOff>
        </xdr:from>
        <xdr:to>
          <xdr:col>12</xdr:col>
          <xdr:colOff>561975</xdr:colOff>
          <xdr:row>8</xdr:row>
          <xdr:rowOff>0</xdr:rowOff>
        </xdr:to>
        <xdr:sp macro="" textlink="">
          <xdr:nvSpPr>
            <xdr:cNvPr id="3131" name="Check Box 59" hidden="1">
              <a:extLst>
                <a:ext uri="{63B3BB69-23CF-44E3-9099-C40C66FF867C}">
                  <a14:compatExt spid="_x0000_s313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361950</xdr:colOff>
          <xdr:row>10</xdr:row>
          <xdr:rowOff>9525</xdr:rowOff>
        </xdr:from>
        <xdr:to>
          <xdr:col>12</xdr:col>
          <xdr:colOff>571500</xdr:colOff>
          <xdr:row>11</xdr:row>
          <xdr:rowOff>0</xdr:rowOff>
        </xdr:to>
        <xdr:sp macro="" textlink="">
          <xdr:nvSpPr>
            <xdr:cNvPr id="3132" name="Check Box 60" hidden="1">
              <a:extLst>
                <a:ext uri="{63B3BB69-23CF-44E3-9099-C40C66FF867C}">
                  <a14:compatExt spid="_x0000_s313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361950</xdr:colOff>
          <xdr:row>10</xdr:row>
          <xdr:rowOff>9525</xdr:rowOff>
        </xdr:from>
        <xdr:to>
          <xdr:col>14</xdr:col>
          <xdr:colOff>571500</xdr:colOff>
          <xdr:row>10</xdr:row>
          <xdr:rowOff>180975</xdr:rowOff>
        </xdr:to>
        <xdr:sp macro="" textlink="">
          <xdr:nvSpPr>
            <xdr:cNvPr id="3143" name="Check Box 71" hidden="1">
              <a:extLst>
                <a:ext uri="{63B3BB69-23CF-44E3-9099-C40C66FF867C}">
                  <a14:compatExt spid="_x0000_s314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352425</xdr:colOff>
          <xdr:row>9</xdr:row>
          <xdr:rowOff>9525</xdr:rowOff>
        </xdr:from>
        <xdr:to>
          <xdr:col>12</xdr:col>
          <xdr:colOff>561975</xdr:colOff>
          <xdr:row>10</xdr:row>
          <xdr:rowOff>0</xdr:rowOff>
        </xdr:to>
        <xdr:sp macro="" textlink="">
          <xdr:nvSpPr>
            <xdr:cNvPr id="3144" name="Check Box 72" hidden="1">
              <a:extLst>
                <a:ext uri="{63B3BB69-23CF-44E3-9099-C40C66FF867C}">
                  <a14:compatExt spid="_x0000_s314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361950</xdr:colOff>
          <xdr:row>9</xdr:row>
          <xdr:rowOff>19050</xdr:rowOff>
        </xdr:from>
        <xdr:to>
          <xdr:col>14</xdr:col>
          <xdr:colOff>561975</xdr:colOff>
          <xdr:row>10</xdr:row>
          <xdr:rowOff>9525</xdr:rowOff>
        </xdr:to>
        <xdr:sp macro="" textlink="">
          <xdr:nvSpPr>
            <xdr:cNvPr id="3147" name="Check Box 75" hidden="1">
              <a:extLst>
                <a:ext uri="{63B3BB69-23CF-44E3-9099-C40C66FF867C}">
                  <a14:compatExt spid="_x0000_s314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361950</xdr:colOff>
          <xdr:row>8</xdr:row>
          <xdr:rowOff>0</xdr:rowOff>
        </xdr:from>
        <xdr:to>
          <xdr:col>14</xdr:col>
          <xdr:colOff>561975</xdr:colOff>
          <xdr:row>8</xdr:row>
          <xdr:rowOff>180975</xdr:rowOff>
        </xdr:to>
        <xdr:sp macro="" textlink="">
          <xdr:nvSpPr>
            <xdr:cNvPr id="3151" name="Check Box 79" hidden="1">
              <a:extLst>
                <a:ext uri="{63B3BB69-23CF-44E3-9099-C40C66FF867C}">
                  <a14:compatExt spid="_x0000_s315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352425</xdr:colOff>
          <xdr:row>8</xdr:row>
          <xdr:rowOff>9525</xdr:rowOff>
        </xdr:from>
        <xdr:to>
          <xdr:col>12</xdr:col>
          <xdr:colOff>552450</xdr:colOff>
          <xdr:row>9</xdr:row>
          <xdr:rowOff>0</xdr:rowOff>
        </xdr:to>
        <xdr:sp macro="" textlink="">
          <xdr:nvSpPr>
            <xdr:cNvPr id="3152" name="Check Box 80" hidden="1">
              <a:extLst>
                <a:ext uri="{63B3BB69-23CF-44E3-9099-C40C66FF867C}">
                  <a14:compatExt spid="_x0000_s315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514350</xdr:colOff>
          <xdr:row>10</xdr:row>
          <xdr:rowOff>0</xdr:rowOff>
        </xdr:from>
        <xdr:to>
          <xdr:col>17</xdr:col>
          <xdr:colOff>19050</xdr:colOff>
          <xdr:row>10</xdr:row>
          <xdr:rowOff>180975</xdr:rowOff>
        </xdr:to>
        <xdr:sp macro="" textlink="">
          <xdr:nvSpPr>
            <xdr:cNvPr id="3154" name="Check Box 82" hidden="1">
              <a:extLst>
                <a:ext uri="{63B3BB69-23CF-44E3-9099-C40C66FF867C}">
                  <a14:compatExt spid="_x0000_s315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352425</xdr:colOff>
          <xdr:row>11</xdr:row>
          <xdr:rowOff>9525</xdr:rowOff>
        </xdr:from>
        <xdr:to>
          <xdr:col>12</xdr:col>
          <xdr:colOff>552450</xdr:colOff>
          <xdr:row>12</xdr:row>
          <xdr:rowOff>0</xdr:rowOff>
        </xdr:to>
        <xdr:sp macro="" textlink="">
          <xdr:nvSpPr>
            <xdr:cNvPr id="3157" name="Check Box 85" hidden="1">
              <a:extLst>
                <a:ext uri="{63B3BB69-23CF-44E3-9099-C40C66FF867C}">
                  <a14:compatExt spid="_x0000_s315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352425</xdr:colOff>
          <xdr:row>12</xdr:row>
          <xdr:rowOff>0</xdr:rowOff>
        </xdr:from>
        <xdr:to>
          <xdr:col>12</xdr:col>
          <xdr:colOff>561975</xdr:colOff>
          <xdr:row>12</xdr:row>
          <xdr:rowOff>180975</xdr:rowOff>
        </xdr:to>
        <xdr:sp macro="" textlink="">
          <xdr:nvSpPr>
            <xdr:cNvPr id="3158" name="Check Box 86" hidden="1">
              <a:extLst>
                <a:ext uri="{63B3BB69-23CF-44E3-9099-C40C66FF867C}">
                  <a14:compatExt spid="_x0000_s315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361950</xdr:colOff>
          <xdr:row>11</xdr:row>
          <xdr:rowOff>0</xdr:rowOff>
        </xdr:from>
        <xdr:to>
          <xdr:col>14</xdr:col>
          <xdr:colOff>571500</xdr:colOff>
          <xdr:row>11</xdr:row>
          <xdr:rowOff>180975</xdr:rowOff>
        </xdr:to>
        <xdr:sp macro="" textlink="">
          <xdr:nvSpPr>
            <xdr:cNvPr id="3159" name="Check Box 87" hidden="1">
              <a:extLst>
                <a:ext uri="{63B3BB69-23CF-44E3-9099-C40C66FF867C}">
                  <a14:compatExt spid="_x0000_s315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361950</xdr:colOff>
          <xdr:row>12</xdr:row>
          <xdr:rowOff>0</xdr:rowOff>
        </xdr:from>
        <xdr:to>
          <xdr:col>14</xdr:col>
          <xdr:colOff>542925</xdr:colOff>
          <xdr:row>12</xdr:row>
          <xdr:rowOff>180975</xdr:rowOff>
        </xdr:to>
        <xdr:sp macro="" textlink="">
          <xdr:nvSpPr>
            <xdr:cNvPr id="3206" name="Check Box 134" hidden="1">
              <a:extLst>
                <a:ext uri="{63B3BB69-23CF-44E3-9099-C40C66FF867C}">
                  <a14:compatExt spid="_x0000_s320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361950</xdr:colOff>
          <xdr:row>6</xdr:row>
          <xdr:rowOff>180975</xdr:rowOff>
        </xdr:from>
        <xdr:to>
          <xdr:col>14</xdr:col>
          <xdr:colOff>571500</xdr:colOff>
          <xdr:row>8</xdr:row>
          <xdr:rowOff>9525</xdr:rowOff>
        </xdr:to>
        <xdr:sp macro="" textlink="">
          <xdr:nvSpPr>
            <xdr:cNvPr id="3209" name="Check Box 137" hidden="1">
              <a:extLst>
                <a:ext uri="{63B3BB69-23CF-44E3-9099-C40C66FF867C}">
                  <a14:compatExt spid="_x0000_s320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" Type="http://schemas.openxmlformats.org/officeDocument/2006/relationships/drawing" Target="../drawings/drawing1.xml"/><Relationship Id="rId16" Type="http://schemas.openxmlformats.org/officeDocument/2006/relationships/ctrlProp" Target="../ctrlProps/ctrlProp13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3"/>
  <dimension ref="A1:AA249"/>
  <sheetViews>
    <sheetView showGridLines="0" tabSelected="1" zoomScaleNormal="100" workbookViewId="0">
      <selection activeCell="I5" sqref="I4:I5"/>
    </sheetView>
  </sheetViews>
  <sheetFormatPr defaultRowHeight="13.5" x14ac:dyDescent="0.15"/>
  <cols>
    <col min="1" max="1" width="8.625" style="14" customWidth="1"/>
    <col min="2" max="2" width="9.875" style="14" customWidth="1"/>
    <col min="3" max="10" width="7" style="14" customWidth="1"/>
    <col min="11" max="11" width="8.125" style="14" customWidth="1"/>
    <col min="12" max="12" width="5.375" style="14" customWidth="1"/>
    <col min="13" max="14" width="8" style="14" customWidth="1"/>
    <col min="15" max="15" width="7.625" style="14" customWidth="1"/>
    <col min="16" max="16" width="6" style="14" customWidth="1"/>
    <col min="17" max="17" width="9.25" style="14" customWidth="1"/>
    <col min="18" max="21" width="7.75" style="14" customWidth="1"/>
    <col min="22" max="16384" width="9" style="14"/>
  </cols>
  <sheetData>
    <row r="1" spans="1:20" ht="15" customHeight="1" x14ac:dyDescent="0.15">
      <c r="A1" s="10" t="s">
        <v>21</v>
      </c>
      <c r="B1" s="11"/>
      <c r="C1" s="11"/>
      <c r="D1" s="12" t="s">
        <v>55</v>
      </c>
      <c r="E1" s="13" t="s">
        <v>56</v>
      </c>
      <c r="F1" s="13" t="s">
        <v>25</v>
      </c>
      <c r="G1" s="13" t="s">
        <v>57</v>
      </c>
      <c r="H1" s="13" t="s">
        <v>24</v>
      </c>
      <c r="I1" s="13" t="s">
        <v>58</v>
      </c>
      <c r="M1" s="12" t="s">
        <v>51</v>
      </c>
      <c r="N1" s="15" t="s">
        <v>9</v>
      </c>
      <c r="O1" s="89"/>
      <c r="P1" s="89"/>
      <c r="Q1" s="1"/>
      <c r="R1" s="16"/>
      <c r="S1" s="16"/>
      <c r="T1" s="16"/>
    </row>
    <row r="2" spans="1:20" ht="15" customHeight="1" x14ac:dyDescent="0.15">
      <c r="A2" s="17" t="s">
        <v>22</v>
      </c>
      <c r="B2" s="18">
        <v>980</v>
      </c>
      <c r="C2" s="11"/>
      <c r="D2" s="13" t="s">
        <v>29</v>
      </c>
      <c r="E2" s="19"/>
      <c r="F2" s="20">
        <v>0.04</v>
      </c>
      <c r="G2" s="20">
        <v>0.5</v>
      </c>
      <c r="H2" s="20">
        <v>0</v>
      </c>
      <c r="I2" s="19"/>
      <c r="M2" s="21"/>
      <c r="N2" s="1"/>
      <c r="O2" s="1"/>
      <c r="P2" s="1"/>
      <c r="Q2" s="1"/>
      <c r="R2" s="1"/>
      <c r="S2" s="1"/>
      <c r="T2" s="1"/>
    </row>
    <row r="3" spans="1:20" ht="15" customHeight="1" x14ac:dyDescent="0.15">
      <c r="A3" s="17" t="s">
        <v>23</v>
      </c>
      <c r="B3" s="18">
        <v>4950</v>
      </c>
      <c r="C3" s="11"/>
      <c r="D3" s="13" t="s">
        <v>30</v>
      </c>
      <c r="E3" s="22">
        <v>-0.5</v>
      </c>
      <c r="F3" s="20">
        <v>7.0000000000000007E-2</v>
      </c>
      <c r="G3" s="23"/>
      <c r="H3" s="23"/>
      <c r="I3" s="19"/>
      <c r="M3" s="24" t="s">
        <v>290</v>
      </c>
      <c r="N3" s="25"/>
      <c r="O3" s="1"/>
      <c r="P3" s="11"/>
      <c r="Q3" s="1"/>
      <c r="R3" s="1"/>
      <c r="S3" s="1"/>
      <c r="T3" s="1"/>
    </row>
    <row r="4" spans="1:20" ht="15" customHeight="1" x14ac:dyDescent="0.15">
      <c r="A4" s="17" t="s">
        <v>24</v>
      </c>
      <c r="B4" s="26">
        <v>1.079</v>
      </c>
      <c r="C4" s="11"/>
      <c r="D4" s="13" t="s">
        <v>49</v>
      </c>
      <c r="E4" s="19"/>
      <c r="F4" s="20">
        <v>0.04</v>
      </c>
      <c r="G4" s="20">
        <v>0.09</v>
      </c>
      <c r="H4" s="23"/>
      <c r="I4" s="22">
        <v>0.5</v>
      </c>
      <c r="M4" s="8" t="s">
        <v>44</v>
      </c>
      <c r="N4" s="8" t="s">
        <v>45</v>
      </c>
      <c r="O4" s="8" t="s">
        <v>52</v>
      </c>
      <c r="P4" s="5" t="s">
        <v>46</v>
      </c>
      <c r="Q4" s="5" t="s">
        <v>48</v>
      </c>
      <c r="R4" s="5" t="s">
        <v>53</v>
      </c>
      <c r="S4" s="5" t="s">
        <v>54</v>
      </c>
      <c r="T4" s="8" t="s">
        <v>47</v>
      </c>
    </row>
    <row r="5" spans="1:20" ht="15" customHeight="1" x14ac:dyDescent="0.15">
      <c r="A5" s="17" t="s">
        <v>25</v>
      </c>
      <c r="B5" s="26">
        <v>0.2944</v>
      </c>
      <c r="C5" s="11"/>
      <c r="D5" s="13" t="s">
        <v>10</v>
      </c>
      <c r="E5" s="19"/>
      <c r="F5" s="23"/>
      <c r="G5" s="20">
        <v>0.09</v>
      </c>
      <c r="H5" s="20">
        <v>0</v>
      </c>
      <c r="I5" s="22">
        <v>-1</v>
      </c>
      <c r="M5" s="22">
        <v>0</v>
      </c>
      <c r="N5" s="22">
        <v>0</v>
      </c>
      <c r="O5" s="22">
        <v>0</v>
      </c>
      <c r="P5" s="22">
        <v>0</v>
      </c>
      <c r="Q5" s="22">
        <v>0</v>
      </c>
      <c r="R5" s="22">
        <v>0</v>
      </c>
      <c r="S5" s="22">
        <v>0</v>
      </c>
      <c r="T5" s="22">
        <v>0</v>
      </c>
    </row>
    <row r="6" spans="1:20" ht="15" customHeight="1" thickBot="1" x14ac:dyDescent="0.2">
      <c r="A6" s="17" t="s">
        <v>26</v>
      </c>
      <c r="B6" s="26">
        <v>2.2604000000000002</v>
      </c>
      <c r="C6" s="11"/>
      <c r="D6" s="27"/>
      <c r="E6" s="28"/>
      <c r="F6" s="28"/>
      <c r="G6" s="28"/>
      <c r="H6" s="28"/>
      <c r="I6" s="28"/>
      <c r="M6" s="29"/>
      <c r="N6" s="29"/>
      <c r="O6" s="29"/>
      <c r="P6" s="29"/>
      <c r="Q6" s="29"/>
      <c r="R6" s="29"/>
      <c r="S6" s="29"/>
      <c r="T6" s="30"/>
    </row>
    <row r="7" spans="1:20" ht="15" customHeight="1" x14ac:dyDescent="0.15">
      <c r="A7" s="17" t="s">
        <v>1</v>
      </c>
      <c r="B7" s="18">
        <v>1496</v>
      </c>
      <c r="C7" s="11"/>
      <c r="D7" s="12" t="s">
        <v>31</v>
      </c>
      <c r="E7" s="31"/>
      <c r="F7" s="31"/>
      <c r="G7" s="31"/>
      <c r="H7" s="31"/>
      <c r="I7" s="31"/>
      <c r="M7" s="32" t="s">
        <v>60</v>
      </c>
      <c r="N7" s="33"/>
      <c r="O7" s="1"/>
      <c r="P7" s="1"/>
      <c r="Q7" s="1"/>
      <c r="R7" s="16"/>
      <c r="S7" s="16"/>
      <c r="T7" s="16"/>
    </row>
    <row r="8" spans="1:20" ht="15" customHeight="1" x14ac:dyDescent="0.3">
      <c r="A8" s="17" t="s">
        <v>27</v>
      </c>
      <c r="B8" s="26">
        <v>0.32390000000000002</v>
      </c>
      <c r="C8" s="11"/>
      <c r="D8" s="13" t="s">
        <v>32</v>
      </c>
      <c r="E8" s="13" t="s">
        <v>33</v>
      </c>
      <c r="F8" s="13" t="s">
        <v>34</v>
      </c>
      <c r="G8" s="13" t="s">
        <v>35</v>
      </c>
      <c r="H8" s="13" t="s">
        <v>36</v>
      </c>
      <c r="I8" s="13" t="s">
        <v>37</v>
      </c>
      <c r="M8" s="2"/>
      <c r="N8" s="34" t="s">
        <v>61</v>
      </c>
      <c r="O8" s="35"/>
      <c r="P8" s="35" t="s">
        <v>274</v>
      </c>
      <c r="Q8" s="36"/>
      <c r="R8" s="34" t="s">
        <v>62</v>
      </c>
      <c r="S8" s="37"/>
      <c r="T8" s="16"/>
    </row>
    <row r="9" spans="1:20" ht="15" customHeight="1" x14ac:dyDescent="0.15">
      <c r="A9" s="17" t="s">
        <v>14</v>
      </c>
      <c r="B9" s="26">
        <v>3.3700000000000001E-2</v>
      </c>
      <c r="C9" s="11"/>
      <c r="D9" s="182" t="s">
        <v>11</v>
      </c>
      <c r="E9" s="182" t="s">
        <v>75</v>
      </c>
      <c r="F9" s="182" t="s">
        <v>76</v>
      </c>
      <c r="G9" s="182" t="s">
        <v>74</v>
      </c>
      <c r="H9" s="182" t="s">
        <v>12</v>
      </c>
      <c r="I9" s="183" t="s">
        <v>13</v>
      </c>
      <c r="M9" s="3"/>
      <c r="N9" s="38" t="s">
        <v>85</v>
      </c>
      <c r="O9" s="35"/>
      <c r="P9" s="34" t="s">
        <v>84</v>
      </c>
      <c r="Q9" s="39"/>
      <c r="R9" s="34"/>
      <c r="S9" s="9"/>
      <c r="T9" s="1"/>
    </row>
    <row r="10" spans="1:20" ht="15" customHeight="1" x14ac:dyDescent="0.15">
      <c r="A10" s="13" t="s">
        <v>215</v>
      </c>
      <c r="B10" s="40">
        <v>238</v>
      </c>
      <c r="C10" s="41"/>
      <c r="D10" s="13" t="s">
        <v>38</v>
      </c>
      <c r="E10" s="13" t="s">
        <v>39</v>
      </c>
      <c r="F10" s="13" t="s">
        <v>40</v>
      </c>
      <c r="G10" s="13" t="s">
        <v>41</v>
      </c>
      <c r="H10" s="13" t="s">
        <v>42</v>
      </c>
      <c r="I10" s="13" t="s">
        <v>43</v>
      </c>
      <c r="M10" s="2"/>
      <c r="N10" s="7" t="s">
        <v>64</v>
      </c>
      <c r="O10" s="5"/>
      <c r="P10" s="4" t="s">
        <v>65</v>
      </c>
      <c r="Q10" s="8"/>
      <c r="R10" s="4"/>
      <c r="S10" s="2"/>
      <c r="T10" s="1"/>
    </row>
    <row r="11" spans="1:20" ht="15" customHeight="1" x14ac:dyDescent="0.15">
      <c r="A11" s="194" t="s">
        <v>82</v>
      </c>
      <c r="B11" s="185">
        <v>4</v>
      </c>
      <c r="C11" s="33"/>
      <c r="D11" s="183" t="s">
        <v>15</v>
      </c>
      <c r="E11" s="183" t="s">
        <v>16</v>
      </c>
      <c r="F11" s="183" t="s">
        <v>17</v>
      </c>
      <c r="G11" s="183" t="s">
        <v>77</v>
      </c>
      <c r="H11" s="183" t="s">
        <v>78</v>
      </c>
      <c r="I11" s="182" t="s">
        <v>50</v>
      </c>
      <c r="M11" s="2"/>
      <c r="N11" s="6" t="s">
        <v>80</v>
      </c>
      <c r="O11" s="5"/>
      <c r="P11" s="7" t="s">
        <v>86</v>
      </c>
      <c r="Q11" s="8"/>
      <c r="R11" s="4" t="s">
        <v>87</v>
      </c>
      <c r="S11" s="2"/>
      <c r="T11" s="1"/>
    </row>
    <row r="12" spans="1:20" ht="15" customHeight="1" x14ac:dyDescent="0.15">
      <c r="A12" s="194" t="s">
        <v>81</v>
      </c>
      <c r="B12" s="186" t="s">
        <v>314</v>
      </c>
      <c r="E12" s="1"/>
      <c r="G12" s="45"/>
      <c r="H12" s="1"/>
      <c r="I12" s="1"/>
      <c r="M12" s="2" t="s">
        <v>7</v>
      </c>
      <c r="N12" s="7" t="s">
        <v>88</v>
      </c>
      <c r="O12" s="5"/>
      <c r="P12" s="7" t="s">
        <v>89</v>
      </c>
      <c r="Q12" s="8"/>
      <c r="R12" s="4"/>
      <c r="S12" s="2"/>
      <c r="T12" s="1"/>
    </row>
    <row r="13" spans="1:20" ht="15" customHeight="1" x14ac:dyDescent="0.15">
      <c r="E13" s="193"/>
      <c r="G13" s="45"/>
      <c r="M13" s="2" t="s">
        <v>8</v>
      </c>
      <c r="N13" s="7" t="s">
        <v>90</v>
      </c>
      <c r="O13" s="5"/>
      <c r="P13" s="4" t="s">
        <v>91</v>
      </c>
      <c r="Q13" s="5"/>
      <c r="R13" s="4"/>
      <c r="S13" s="2"/>
      <c r="T13" s="1"/>
    </row>
    <row r="14" spans="1:20" ht="15" customHeight="1" thickBot="1" x14ac:dyDescent="0.2">
      <c r="P14" s="1"/>
      <c r="Q14" s="1"/>
      <c r="R14" s="1"/>
    </row>
    <row r="15" spans="1:20" ht="15" customHeight="1" x14ac:dyDescent="0.15">
      <c r="L15" s="45"/>
      <c r="M15" s="266"/>
      <c r="N15" s="266"/>
      <c r="O15" s="266"/>
      <c r="P15" s="265" t="s">
        <v>307</v>
      </c>
      <c r="Q15" s="267" t="s">
        <v>308</v>
      </c>
      <c r="R15" s="267" t="s">
        <v>309</v>
      </c>
      <c r="S15" s="267" t="s">
        <v>310</v>
      </c>
      <c r="T15" s="267" t="s">
        <v>311</v>
      </c>
    </row>
    <row r="16" spans="1:20" ht="15" customHeight="1" x14ac:dyDescent="0.15">
      <c r="P16" s="239" t="s">
        <v>302</v>
      </c>
      <c r="Q16" s="196">
        <v>98</v>
      </c>
      <c r="R16" s="240">
        <v>1.1000000000000001</v>
      </c>
      <c r="S16" s="240">
        <v>0.4</v>
      </c>
      <c r="T16" s="196">
        <v>1450</v>
      </c>
    </row>
    <row r="17" spans="1:20" ht="15" customHeight="1" x14ac:dyDescent="0.15">
      <c r="A17" s="187" t="s">
        <v>72</v>
      </c>
      <c r="B17" s="195" t="s">
        <v>276</v>
      </c>
      <c r="C17" s="196" t="s">
        <v>217</v>
      </c>
      <c r="D17" s="197" t="s">
        <v>275</v>
      </c>
      <c r="E17" s="237" t="s">
        <v>217</v>
      </c>
      <c r="G17" s="45"/>
      <c r="L17" s="52"/>
      <c r="P17" s="239" t="s">
        <v>304</v>
      </c>
      <c r="Q17" s="196">
        <v>98</v>
      </c>
      <c r="R17" s="240">
        <v>1.1000000000000001</v>
      </c>
      <c r="S17" s="240">
        <v>0.4</v>
      </c>
      <c r="T17" s="196">
        <v>1450</v>
      </c>
    </row>
    <row r="18" spans="1:20" ht="15" customHeight="1" thickBot="1" x14ac:dyDescent="0.2">
      <c r="A18" s="42" t="s">
        <v>92</v>
      </c>
      <c r="B18" s="43" t="s">
        <v>239</v>
      </c>
      <c r="C18" s="90" t="s">
        <v>13</v>
      </c>
      <c r="D18" s="91" t="s">
        <v>59</v>
      </c>
      <c r="E18" s="91" t="s">
        <v>93</v>
      </c>
      <c r="F18" s="91" t="s">
        <v>59</v>
      </c>
      <c r="G18" s="180" t="s">
        <v>59</v>
      </c>
      <c r="H18" s="91" t="s">
        <v>9</v>
      </c>
      <c r="I18" s="91" t="s">
        <v>9</v>
      </c>
      <c r="J18" s="92" t="s">
        <v>9</v>
      </c>
      <c r="K18" s="44" t="s">
        <v>79</v>
      </c>
      <c r="L18" s="54"/>
      <c r="M18" s="184" t="s">
        <v>83</v>
      </c>
      <c r="N18" s="46">
        <v>242</v>
      </c>
      <c r="P18" s="239" t="s">
        <v>312</v>
      </c>
      <c r="Q18" s="196">
        <v>98</v>
      </c>
      <c r="R18" s="240">
        <v>1.1000000000000001</v>
      </c>
      <c r="S18" s="240">
        <v>0.4</v>
      </c>
      <c r="T18" s="196">
        <v>1450</v>
      </c>
    </row>
    <row r="19" spans="1:20" ht="15" customHeight="1" x14ac:dyDescent="0.15">
      <c r="A19" s="48" t="s">
        <v>94</v>
      </c>
      <c r="B19" s="49">
        <f>$F$112+$B$100-$U$105</f>
        <v>1.6755</v>
      </c>
      <c r="C19" s="50">
        <f>IF(C18&lt;&gt;"四象",INDEX($O$104:$U$107,MATCH(MIN(COUNTIF($B$18:B18,"=太极"),2),$O$104:$O$107,0),6),$C$112+$B$100-INDEX($O$104:$U$107,MATCH(MIN(COUNTIFS($B$18:B18,"=太极"),2),$O$104:$O$107,0),7))</f>
        <v>1.6755</v>
      </c>
      <c r="D19" s="50">
        <f>IF(D18&lt;&gt;"四象",INDEX($O$104:$U$107,MATCH(MIN(COUNTIF($B$18:C18,"=太极"),2),$O$104:$O$107,0),6),$C$112+$B$100-INDEX($O$104:$U$107,MATCH(MIN(COUNTIFS($B$18:C18,"=太极"),2),$O$104:$O$107,0),7))*IF(AND(SUM($C$19:C19)&gt;=$F$114,D18="无"),0,1)</f>
        <v>1.613</v>
      </c>
      <c r="E19" s="50">
        <f>IF(E18&lt;&gt;"四象",INDEX($O$104:$U$107,MATCH(MIN(COUNTIF($B$18:D18,"=太极"),2),$O$104:$O$107,0),6),$C$112+$B$100-INDEX($O$104:$U$107,MATCH(MIN(COUNTIFS($B$18:D18,"=太极"),2),$O$104:$O$107,0),7))*IF(AND(SUM($C$19:D19)&gt;=$F$114,E18="无"),0,1)</f>
        <v>1.613</v>
      </c>
      <c r="F19" s="50">
        <f>IF(F18&lt;&gt;"四象",INDEX($O$104:$U$107,MATCH(MIN(COUNTIF($B$18:E18,"=太极"),2),$O$104:$O$107,0),6),$C$112+$B$100-INDEX($O$104:$U$107,MATCH(MIN(COUNTIFS($B$18:E18,"=太极"),2),$O$104:$O$107,0),7))*IF(AND(SUM($C$19:E19)&gt;=$F$114,F18="无"),0,1)</f>
        <v>1.613</v>
      </c>
      <c r="G19" s="147">
        <f>IF(G18&lt;&gt;"四象",INDEX($O$104:$U$107,MATCH(MIN(COUNTIF($B$18:F18,"=太极"),2),$O$104:$O$107,0),6),$C$112+$B$100-INDEX($O$104:$U$107,MATCH(MIN(COUNTIFS($B$18:F18,"=太极"),2),$O$104:$O$107,0),7))*IF(AND(SUM($C$19:F19)&gt;=$F$114,G18="无"),0,1)</f>
        <v>1.613</v>
      </c>
      <c r="H19" s="147">
        <f>IF(H18&lt;&gt;"四象",INDEX($O$104:$U$107,MATCH(MIN(COUNTIF($B$18:G18,"=太极"),2),$O$104:$O$107,0),6),$C$112+$B$100-INDEX($O$104:$U$107,MATCH(MIN(COUNTIFS($B$18:G18,"=太极"),2),$O$104:$O$107,0),7))*IF(AND(SUM($C$19:G19)&gt;=$F$114,H18="无"),0,1)</f>
        <v>0</v>
      </c>
      <c r="I19" s="147">
        <f>IF(I18&lt;&gt;"四象",INDEX($O$104:$U$107,MATCH(MIN(COUNTIF($B$18:H18,"=太极"),2),$O$104:$O$107,0),6),$C$112+$B$100-INDEX($O$104:$U$107,MATCH(MIN(COUNTIFS($B$18:H18,"=太极"),2),$O$104:$O$107,0),7))*IF(AND(SUM($C$19:H19)&gt;=$F$114,I18="无"),0,1)</f>
        <v>0</v>
      </c>
      <c r="J19" s="147">
        <f>IF(J18&lt;&gt;"四象",INDEX($O$104:$U$107,MATCH(MIN(COUNTIF($B$18:I18,"=太极"),2),$O$104:$O$107,0),6),$C$112+$B$100-INDEX($O$104:$U$107,MATCH(MIN(COUNTIFS($B$18:I18,"=太极"),2),$O$104:$O$107,0),7))*IF(AND(SUM($C$19:I19)&gt;=$F$114,J18="无"),0,1)</f>
        <v>0</v>
      </c>
      <c r="K19" s="188">
        <f>SUM(C19:F19)-$F$114</f>
        <v>0.51449999999999996</v>
      </c>
      <c r="L19" s="55"/>
      <c r="M19" s="51" t="s">
        <v>270</v>
      </c>
      <c r="N19" s="57">
        <f t="shared" ref="N19:N25" si="0">P193</f>
        <v>16586.608122382426</v>
      </c>
      <c r="P19" s="270" t="s">
        <v>313</v>
      </c>
      <c r="Q19" s="271"/>
      <c r="R19" s="271"/>
      <c r="S19" s="271"/>
      <c r="T19" s="272"/>
    </row>
    <row r="20" spans="1:20" ht="15" customHeight="1" x14ac:dyDescent="0.15">
      <c r="A20" s="42" t="s">
        <v>95</v>
      </c>
      <c r="B20" s="43" t="s">
        <v>96</v>
      </c>
      <c r="C20" s="90" t="s">
        <v>13</v>
      </c>
      <c r="D20" s="91" t="s">
        <v>59</v>
      </c>
      <c r="E20" s="91" t="s">
        <v>93</v>
      </c>
      <c r="F20" s="91" t="s">
        <v>59</v>
      </c>
      <c r="G20" s="180" t="s">
        <v>59</v>
      </c>
      <c r="H20" s="91" t="s">
        <v>9</v>
      </c>
      <c r="I20" s="91" t="s">
        <v>9</v>
      </c>
      <c r="J20" s="92" t="s">
        <v>9</v>
      </c>
      <c r="K20" s="181"/>
      <c r="L20" s="54"/>
      <c r="M20" s="51" t="s">
        <v>19</v>
      </c>
      <c r="N20" s="57">
        <f t="shared" si="0"/>
        <v>14634.057821096168</v>
      </c>
      <c r="P20" s="273"/>
      <c r="Q20" s="274"/>
      <c r="R20" s="274"/>
      <c r="S20" s="274"/>
      <c r="T20" s="275"/>
    </row>
    <row r="21" spans="1:20" ht="15" customHeight="1" x14ac:dyDescent="0.15">
      <c r="A21" s="47" t="s">
        <v>94</v>
      </c>
      <c r="B21" s="53">
        <f>$G$112+$B$100-INDEX($O$104:$U$107,MATCH(MIN(COUNTIF($B$18:$J$19,"=太极")+COUNTIF($B$20:B20,"=太极"),2),$O$104:$O$107,0),7)</f>
        <v>1.613</v>
      </c>
      <c r="C21" s="50">
        <f>IF(C20&lt;&gt;"四象",INDEX($O$104:$U$107,MATCH(MIN(COUNTIF($B$18:$J$19,"=太极")+COUNTIF($B$20:B20,"=太极"),2),$O$104:$O$107,0),6),$C$112+$B$100-INDEX($O$104:$U$107,MATCH(MIN(COUNTIF($B$18:$J$19,"=太极")+COUNTIF($B$20:B20,"=太极"),2),$O$104:$O$107,0),7))</f>
        <v>1.613</v>
      </c>
      <c r="D21" s="50">
        <f>IF(D20&lt;&gt;"四象",INDEX($O$104:$U$107,MATCH(MIN(COUNTIF($B$18:$J$19,"=太极")+COUNTIF($B$20:C20,"=太极"),2),$O$104:$O$107,0),6),$C$112+$B$100-INDEX($O$104:$U$107,MATCH(MIN(COUNTIF($B$18:$J$19,"=太极")+COUNTIF($B$20:C20,"=太极"),2),$O$104:$O$107,0),7))*IF(AND(SUM($C$21:C21)&gt;=$F$114,D20="无"),0,1)</f>
        <v>1.5505</v>
      </c>
      <c r="E21" s="50">
        <f>IF(E20&lt;&gt;"四象",INDEX($O$104:$U$107,MATCH(MIN(COUNTIF($B$18:$J$19,"=太极")+COUNTIF($B$20:D20,"=太极"),2),$O$104:$O$107,0),6),$C$112+$B$100-INDEX($O$104:$U$107,MATCH(MIN(COUNTIF($B$18:$J$19,"=太极")+COUNTIF($B$20:D20,"=太极"),2),$O$104:$O$107,0),7))*IF(AND(SUM($C$21:D21)&gt;=$F$114,E20="无"),0,1)</f>
        <v>1.5505</v>
      </c>
      <c r="F21" s="50">
        <f>IF(F20&lt;&gt;"四象",INDEX($O$104:$U$107,MATCH(MIN(COUNTIF($B$18:$J$19,"=太极")+COUNTIF($B$20:E20,"=太极"),2),$O$104:$O$107,0),6),$C$112+$B$100-INDEX($O$104:$U$107,MATCH(MIN(COUNTIF($B$18:$J$19,"=太极")+COUNTIF($B$20:E20,"=太极"),2),$O$104:$O$107,0),7))*IF(AND(SUM($C$21:E21)&gt;=$F$114,F20="无"),0,1)</f>
        <v>1.5505</v>
      </c>
      <c r="G21" s="147">
        <f>IF(G20&lt;&gt;"四象",INDEX($O$104:$U$107,MATCH(MIN(COUNTIF($B$18:$J$19,"=太极")+COUNTIF($B$20:F20,"=太极"),2),$O$104:$O$107,0),6),$C$112+$B$100-INDEX($O$104:$U$107,MATCH(MIN(COUNTIF($B$18:$J$19,"=太极")+COUNTIF($B$20:F20,"=太极"),2),$O$104:$O$107,0),7))*IF(AND(SUM($C$21:F21)&gt;=$F$114,G20="无"),0,1)</f>
        <v>1.5505</v>
      </c>
      <c r="H21" s="147">
        <f>IF(H20&lt;&gt;"四象",INDEX($O$104:$U$107,MATCH(MIN(COUNTIF($B$18:$J$19,"=太极")+COUNTIF($B$20:G20,"=太极"),2),$O$104:$O$107,0),6),$C$112+$B$100-INDEX($O$104:$U$107,MATCH(MIN(COUNTIF($B$18:$J$19,"=太极")+COUNTIF($B$20:G20,"=太极"),2),$O$104:$O$107,0),7))*IF(AND(SUM($C$21:G21)&gt;=$F$114,H20="无"),0,1)</f>
        <v>0</v>
      </c>
      <c r="I21" s="147">
        <f>IF(I20&lt;&gt;"四象",INDEX($O$104:$U$107,MATCH(MIN(COUNTIF($B$18:$J$19,"=太极")+COUNTIF($B$20:H20,"=太极"),2),$O$104:$O$107,0),6),$C$112+$B$100-INDEX($O$104:$U$107,MATCH(MIN(COUNTIF($B$18:$J$19,"=太极")+COUNTIF($B$20:H20,"=太极"),2),$O$104:$O$107,0),7))*IF(AND(SUM($C$21:H21)&gt;=$F$114,I20="无"),0,1)</f>
        <v>0</v>
      </c>
      <c r="J21" s="147">
        <f>IF(J20&lt;&gt;"四象",INDEX($O$104:$U$107,MATCH(MIN(COUNTIF($B$18:$J$19,"=太极")+COUNTIF($B$20:I20,"=太极"),2),$O$104:$O$107,0),6),$C$112+$B$100-INDEX($O$104:$U$107,MATCH(MIN(COUNTIF($B$18:$J$19,"=太极")+COUNTIF($B$20:I20,"=太极"),2),$O$104:$O$107,0),7))*IF(AND(SUM($C$21:I21)&gt;=$F$114,J20="无"),0,1)</f>
        <v>0</v>
      </c>
      <c r="K21" s="188">
        <f>SUM(C21:F21)-$F$114</f>
        <v>0.26449999999999996</v>
      </c>
      <c r="L21" s="45"/>
      <c r="M21" s="51" t="s">
        <v>20</v>
      </c>
      <c r="N21" s="57">
        <f t="shared" si="0"/>
        <v>12569.07243445833</v>
      </c>
      <c r="P21" s="273"/>
      <c r="Q21" s="274"/>
      <c r="R21" s="274"/>
      <c r="S21" s="274"/>
      <c r="T21" s="275"/>
    </row>
    <row r="22" spans="1:20" ht="15" customHeight="1" x14ac:dyDescent="0.15">
      <c r="A22" s="42" t="s">
        <v>97</v>
      </c>
      <c r="B22" s="43" t="s">
        <v>98</v>
      </c>
      <c r="C22" s="91" t="s">
        <v>13</v>
      </c>
      <c r="D22" s="91" t="s">
        <v>59</v>
      </c>
      <c r="E22" s="91" t="s">
        <v>93</v>
      </c>
      <c r="F22" s="91" t="s">
        <v>59</v>
      </c>
      <c r="G22" s="180" t="s">
        <v>59</v>
      </c>
      <c r="H22" s="91" t="s">
        <v>9</v>
      </c>
      <c r="I22" s="91" t="s">
        <v>9</v>
      </c>
      <c r="J22" s="92" t="s">
        <v>9</v>
      </c>
      <c r="K22" s="181"/>
      <c r="L22" s="45"/>
      <c r="M22" s="51" t="s">
        <v>300</v>
      </c>
      <c r="N22" s="57">
        <f t="shared" si="0"/>
        <v>8768.78805403962</v>
      </c>
      <c r="P22" s="273"/>
      <c r="Q22" s="274"/>
      <c r="R22" s="274"/>
      <c r="S22" s="274"/>
      <c r="T22" s="275"/>
    </row>
    <row r="23" spans="1:20" ht="15" customHeight="1" x14ac:dyDescent="0.15">
      <c r="A23" s="48" t="s">
        <v>94</v>
      </c>
      <c r="B23" s="49">
        <f>$H$112+B$100-INDEX($O$104:$U$107,MATCH(MIN(COUNTIF($B$18:$J$21,"=太极")+COUNTIF($B$22:B22,"=太极"),2),$O$104:$O$107,0),7)</f>
        <v>1.5505</v>
      </c>
      <c r="C23" s="50">
        <f>IF(C22&lt;&gt;"四象",INDEX($O$104:$U$107,MATCH(MIN(COUNTIF($B$18:$J$21,"=太极")+COUNTIF($B$22:B22,"=太极"),2),$O$104:$O$107,0),6),$C$112+$B$100-INDEX($O$104:$U$107,MATCH(MIN(COUNTIF($B$18:$J$21,"=太极")+COUNTIF($B$22:B22,"=太极"),2),$O$104:$O$107,0),7))</f>
        <v>1.5505</v>
      </c>
      <c r="D23" s="50">
        <f>IF(D22&lt;&gt;"四象",INDEX($O$104:$U$107,MATCH(MIN(COUNTIF($B$18:$J$21,"=太极")+COUNTIF($B$22:C22,"=太极"),2),$O$104:$O$107,0),6),$C$112+$B$100-INDEX($O$104:$U$107,MATCH(MIN(COUNTIF($B$18:$J$21,"=太极")+COUNTIF($B$22:C22,"=太极"),2),$O$104:$O$107,0),7))*IF(AND(SUM($C$23:C23)&gt;=$F$114,D22="无"),0,1)</f>
        <v>1.5505</v>
      </c>
      <c r="E23" s="50">
        <f>IF(E22&lt;&gt;"四象",INDEX($O$104:$U$107,MATCH(MIN(COUNTIF($B$18:$J$21,"=太极")+COUNTIF($B$22:D22,"=太极"),2),$O$104:$O$107,0),6),$C$112+$B$100-INDEX($O$104:$U$107,MATCH(MIN(COUNTIF($B$18:$J$21,"=太极")+COUNTIF($B$22:D22,"=太极"),2),$O$104:$O$107,0),7))*IF(AND(SUM($C$23:D23)&gt;=$F$114,E22="无"),0,1)</f>
        <v>1.5505</v>
      </c>
      <c r="F23" s="50">
        <f>IF(F22&lt;&gt;"四象",INDEX($O$104:$U$107,MATCH(MIN(COUNTIF($B$18:$J$21,"=太极")+COUNTIF($B$22:E22,"=太极"),2),$O$104:$O$107,0),6),$C$112+$B$100-INDEX($O$104:$U$107,MATCH(MIN(COUNTIF($B$18:$J$21,"=太极")+COUNTIF($B$22:E22,"=太极"),2),$O$104:$O$107,0),7))*IF(AND(SUM($C$23:E23)&gt;=$F$114,F22="无"),0,1)</f>
        <v>1.5505</v>
      </c>
      <c r="G23" s="147">
        <f>IF(G22&lt;&gt;"四象",INDEX($O$104:$U$107,MATCH(MIN(COUNTIF($B$18:$J$21,"=太极")+COUNTIF($B$22:F22,"=太极"),2),$O$104:$O$107,0),6),$C$112+$B$100-INDEX($O$104:$U$107,MATCH(MIN(COUNTIF($B$18:$J$21,"=太极")+COUNTIF($B$22:F22,"=太极"),2),$O$104:$O$107,0),7))*IF(AND(SUM($C$23:F23)&gt;=$F$114,G22="无"),0,1)</f>
        <v>1.5505</v>
      </c>
      <c r="H23" s="147">
        <f>IF(H22&lt;&gt;"四象",INDEX($O$104:$U$107,MATCH(MIN(COUNTIF($B$18:$J$21,"=太极")+COUNTIF($B$22:G22,"=太极"),2),$O$104:$O$107,0),6),$C$112+$B$100-INDEX($O$104:$U$107,MATCH(MIN(COUNTIF($B$18:$J$21,"=太极")+COUNTIF($B$22:G22,"=太极"),2),$O$104:$O$107,0),7))*IF(AND(SUM($C$23:G23)&gt;=$F$114,H22="无"),0,1)</f>
        <v>0</v>
      </c>
      <c r="I23" s="147">
        <f>IF(I22&lt;&gt;"四象",INDEX($O$104:$U$107,MATCH(MIN(COUNTIF($B$18:$J$21,"=太极")+COUNTIF($B$22:H22,"=太极"),2),$O$104:$O$107,0),6),$C$112+$B$100-INDEX($O$104:$U$107,MATCH(MIN(COUNTIF($B$18:$J$21,"=太极")+COUNTIF($B$22:H22,"=太极"),2),$O$104:$O$107,0),7))*IF(AND(SUM($C$23:H23)&gt;=$F$114,I22="无"),0,1)</f>
        <v>0</v>
      </c>
      <c r="J23" s="147">
        <f>IF(J22&lt;&gt;"四象",INDEX($O$104:$U$107,MATCH(MIN(COUNTIF($B$18:$J$21,"=太极")+COUNTIF($B$22:I22,"=太极"),2),$O$104:$O$107,0),6),$C$112+$B$100-INDEX($O$104:$U$107,MATCH(MIN(COUNTIF($B$18:$J$21,"=太极")+COUNTIF($B$22:I22,"=太极"),2),$O$104:$O$107,0),7))*IF(AND(SUM($C$23:I23)&gt;=$F$114,J22="无"),0,1)</f>
        <v>0</v>
      </c>
      <c r="K23" s="188">
        <f>SUM(C23:F23)-$F$114</f>
        <v>0.20199999999999996</v>
      </c>
      <c r="L23" s="45"/>
      <c r="M23" s="51" t="s">
        <v>302</v>
      </c>
      <c r="N23" s="57">
        <f t="shared" si="0"/>
        <v>11765.134943147294</v>
      </c>
      <c r="P23" s="273"/>
      <c r="Q23" s="274"/>
      <c r="R23" s="274"/>
      <c r="S23" s="274"/>
      <c r="T23" s="275"/>
    </row>
    <row r="24" spans="1:20" ht="15" customHeight="1" x14ac:dyDescent="0.15">
      <c r="A24" s="42" t="s">
        <v>73</v>
      </c>
      <c r="B24" s="43" t="s">
        <v>99</v>
      </c>
      <c r="C24" s="90" t="s">
        <v>59</v>
      </c>
      <c r="D24" s="91" t="s">
        <v>59</v>
      </c>
      <c r="E24" s="91" t="s">
        <v>93</v>
      </c>
      <c r="F24" s="91" t="s">
        <v>59</v>
      </c>
      <c r="G24" s="180" t="s">
        <v>59</v>
      </c>
      <c r="H24" s="91" t="s">
        <v>9</v>
      </c>
      <c r="I24" s="91" t="s">
        <v>9</v>
      </c>
      <c r="J24" s="92" t="s">
        <v>9</v>
      </c>
      <c r="K24" s="181"/>
      <c r="M24" s="51" t="s">
        <v>304</v>
      </c>
      <c r="N24" s="57">
        <f t="shared" si="0"/>
        <v>11765.134943147294</v>
      </c>
      <c r="P24" s="273"/>
      <c r="Q24" s="274"/>
      <c r="R24" s="274"/>
      <c r="S24" s="274"/>
      <c r="T24" s="275"/>
    </row>
    <row r="25" spans="1:20" ht="15" customHeight="1" thickBot="1" x14ac:dyDescent="0.2">
      <c r="A25" s="48" t="s">
        <v>94</v>
      </c>
      <c r="B25" s="49">
        <f>$H$112+B$100-INDEX($O$104:$U$107,MATCH(MIN(COUNTIF($B$18:$J$22,"=太极")+COUNTIF($B$24:B24,"=太极"),2),$O$104:$O$107,0),7)</f>
        <v>1.5505</v>
      </c>
      <c r="C25" s="50">
        <f>IF(C24&lt;&gt;"四象",INDEX($O$104:$U$107,MATCH(MIN(COUNTIF($B$18:$J$23,"=太极")+COUNTIF($B$24:B24,"=太极"),2),$O$104:$O$107,0),6),$C$112+$B$100-INDEX($O$104:$U$107,MATCH(MIN(COUNTIF($B$18:$J$23,"=太极")+COUNTIF($B$24:B24,"=太极"),2),$O$104:$O$107,0),7))</f>
        <v>1.5505</v>
      </c>
      <c r="D25" s="50">
        <f>IF(D24&lt;&gt;"四象",INDEX($O$104:$U$107,MATCH(MIN(COUNTIF($B$18:$J$23,"=太极")++COUNTIF($B$24:C24,"=太极"),2),$O$104:$O$107,0),6),$C$112+$B$100-INDEX($O$104:$U$107,MATCH(MIN(COUNTIF($B$18:$J$23,"=太极")+COUNTIF($B$24:C24,"=太极"),2),$O$104:$O$107,0),7))*IF(AND(SUM($C$25:C25)&gt;=$F$114,D24="无"),0,1)</f>
        <v>1.5505</v>
      </c>
      <c r="E25" s="50">
        <f>IF(E24&lt;&gt;"四象",INDEX($O$104:$U$107,MATCH(MIN(COUNTIF($B$18:$J$23,"=太极")++COUNTIF($B$24:D24,"=太极"),2),$O$104:$O$107,0),6),$C$112+$B$100-INDEX($O$104:$U$107,MATCH(MIN(COUNTIF($B$18:$J$23,"=太极")+COUNTIF($B$24:D24,"=太极"),2),$O$104:$O$107,0),7))*IF(AND(SUM($C$25:D25)&gt;=$F$114,E24="无"),0,1)</f>
        <v>1.5505</v>
      </c>
      <c r="F25" s="50">
        <f>IF(F24&lt;&gt;"四象",INDEX($O$104:$U$107,MATCH(MIN(COUNTIF($B$18:$J$23,"=太极")++COUNTIF($B$24:E24,"=太极"),2),$O$104:$O$107,0),6),$C$112+$B$100-INDEX($O$104:$U$107,MATCH(MIN(COUNTIF($B$18:$J$23,"=太极")+COUNTIF($B$24:E24,"=太极"),2),$O$104:$O$107,0),7))*IF(AND(SUM($C$25:E25)&gt;=$F$114,F24="无"),0,1)</f>
        <v>1.5505</v>
      </c>
      <c r="G25" s="147">
        <f>IF(G24&lt;&gt;"四象",INDEX($O$104:$U$107,MATCH(MIN(COUNTIF($B$18:$J$23,"=太极")++COUNTIF($B$24:F24,"=太极"),2),$O$104:$O$107,0),6),$C$112+$B$100-INDEX($O$104:$U$107,MATCH(MIN(COUNTIF($B$18:$J$23,"=太极")+COUNTIF($B$24:F24,"=太极"),2),$O$104:$O$107,0),7))*IF(AND(SUM($C$25:F25)&gt;=$F$114,G24="无"),0,1)</f>
        <v>1.5505</v>
      </c>
      <c r="H25" s="147">
        <f>IF(H24&lt;&gt;"四象",INDEX($O$104:$U$107,MATCH(MIN(COUNTIF($B$18:$J$23,"=太极")++COUNTIF($B$24:G24,"=太极"),2),$O$104:$O$107,0),6),$C$112+$B$100-INDEX($O$104:$U$107,MATCH(MIN(COUNTIF($B$18:$J$23,"=太极")+COUNTIF($B$24:G24,"=太极"),2),$O$104:$O$107,0),7))*IF(AND(SUM($C$25:G25)&gt;=$F$114,H24="无"),0,1)</f>
        <v>0</v>
      </c>
      <c r="I25" s="147">
        <f>IF(I24&lt;&gt;"四象",INDEX($O$104:$U$107,MATCH(MIN(COUNTIF($B$18:$J$23,"=太极")++COUNTIF($B$24:H24,"=太极"),2),$O$104:$O$107,0),6),$C$112+$B$100-INDEX($O$104:$U$107,MATCH(MIN(COUNTIF($B$18:$J$23,"=太极")+COUNTIF($B$24:H24,"=太极"),2),$O$104:$O$107,0),7))*IF(AND(SUM($C$25:H25)&gt;=$F$114,I24="无"),0,1)</f>
        <v>0</v>
      </c>
      <c r="J25" s="147">
        <f>IF(J24&lt;&gt;"四象",INDEX($O$104:$U$107,MATCH(MIN(COUNTIF($B$18:$J$23,"=太极")++COUNTIF($B$24:I24,"=太极"),2),$O$104:$O$107,0),6),$C$112+$B$100-INDEX($O$104:$U$107,MATCH(MIN(COUNTIF($B$18:$J$23,"=太极")+COUNTIF($B$24:I24,"=太极"),2),$O$104:$O$107,0),7))*IF(AND(SUM($C$25:I25)&gt;=$F$114,J24="无"),0,1)</f>
        <v>0</v>
      </c>
      <c r="K25" s="188">
        <f>SUM(C25:F25)-$F$114</f>
        <v>0.20199999999999996</v>
      </c>
      <c r="L25" s="56"/>
      <c r="M25" s="51" t="s">
        <v>306</v>
      </c>
      <c r="N25" s="57">
        <f t="shared" si="0"/>
        <v>11765.134943147294</v>
      </c>
      <c r="P25" s="276"/>
      <c r="Q25" s="277"/>
      <c r="R25" s="277"/>
      <c r="S25" s="277"/>
      <c r="T25" s="278"/>
    </row>
    <row r="26" spans="1:20" ht="15" customHeight="1" x14ac:dyDescent="0.15">
      <c r="G26" s="151"/>
      <c r="N26" s="150"/>
    </row>
    <row r="27" spans="1:20" ht="15" customHeight="1" x14ac:dyDescent="0.15"/>
    <row r="28" spans="1:20" ht="15" customHeight="1" x14ac:dyDescent="0.15">
      <c r="T28" s="56"/>
    </row>
    <row r="29" spans="1:20" ht="15" customHeight="1" x14ac:dyDescent="0.15">
      <c r="T29" s="56"/>
    </row>
    <row r="30" spans="1:20" ht="15" customHeight="1" x14ac:dyDescent="0.15">
      <c r="N30" s="199"/>
      <c r="O30" s="199"/>
      <c r="P30" s="199"/>
      <c r="S30" s="199"/>
      <c r="T30" s="56"/>
    </row>
    <row r="31" spans="1:20" ht="15" customHeight="1" x14ac:dyDescent="0.15">
      <c r="T31" s="56"/>
    </row>
    <row r="32" spans="1:20" ht="15" customHeight="1" x14ac:dyDescent="0.15"/>
    <row r="33" ht="15" customHeight="1" x14ac:dyDescent="0.15"/>
    <row r="34" ht="15" customHeight="1" x14ac:dyDescent="0.15"/>
    <row r="35" ht="15" customHeight="1" x14ac:dyDescent="0.15"/>
    <row r="36" ht="15" customHeight="1" x14ac:dyDescent="0.15"/>
    <row r="37" ht="15" customHeight="1" x14ac:dyDescent="0.15"/>
    <row r="38" ht="15" customHeight="1" x14ac:dyDescent="0.15"/>
    <row r="39" ht="15" customHeight="1" x14ac:dyDescent="0.15"/>
    <row r="40" ht="15" customHeight="1" x14ac:dyDescent="0.15"/>
    <row r="41" ht="15" customHeight="1" x14ac:dyDescent="0.15"/>
    <row r="42" ht="15" customHeight="1" x14ac:dyDescent="0.15"/>
    <row r="54" spans="1:20" ht="15" customHeight="1" x14ac:dyDescent="0.15">
      <c r="A54" s="56"/>
      <c r="B54" s="56"/>
      <c r="C54" s="56"/>
      <c r="D54" s="56"/>
      <c r="E54" s="56"/>
      <c r="F54" s="56"/>
      <c r="G54" s="56"/>
      <c r="H54" s="56"/>
      <c r="I54" s="56"/>
      <c r="J54" s="56"/>
      <c r="K54" s="56"/>
      <c r="L54" s="56"/>
      <c r="M54" s="56"/>
      <c r="N54" s="56"/>
      <c r="O54" s="56"/>
      <c r="P54" s="56"/>
      <c r="Q54" s="56"/>
      <c r="R54" s="56"/>
      <c r="S54" s="56"/>
      <c r="T54" s="56"/>
    </row>
    <row r="55" spans="1:20" ht="15" customHeight="1" x14ac:dyDescent="0.15">
      <c r="A55" s="56"/>
      <c r="B55" s="56"/>
      <c r="C55" s="56"/>
      <c r="D55" s="56"/>
      <c r="E55" s="56"/>
      <c r="F55" s="56"/>
      <c r="G55" s="56"/>
      <c r="H55" s="56"/>
      <c r="I55" s="56"/>
      <c r="J55" s="56"/>
      <c r="K55" s="56"/>
      <c r="L55" s="56"/>
      <c r="M55" s="56"/>
      <c r="N55" s="56"/>
      <c r="O55" s="56"/>
      <c r="P55" s="56"/>
      <c r="Q55" s="56"/>
      <c r="R55" s="56"/>
      <c r="S55" s="56"/>
      <c r="T55" s="56"/>
    </row>
    <row r="56" spans="1:20" ht="15" customHeight="1" x14ac:dyDescent="0.15">
      <c r="A56" s="56"/>
      <c r="B56" s="56"/>
      <c r="C56" s="56"/>
      <c r="D56" s="56"/>
      <c r="E56" s="56"/>
      <c r="F56" s="56"/>
      <c r="G56" s="56"/>
      <c r="H56" s="56"/>
      <c r="I56" s="56"/>
      <c r="J56" s="56"/>
      <c r="K56" s="56"/>
      <c r="L56" s="56"/>
      <c r="M56" s="56"/>
      <c r="N56" s="56"/>
      <c r="O56" s="56"/>
      <c r="P56" s="56"/>
      <c r="Q56" s="56"/>
      <c r="R56" s="56"/>
      <c r="S56" s="56"/>
      <c r="T56" s="56"/>
    </row>
    <row r="57" spans="1:20" x14ac:dyDescent="0.15">
      <c r="C57" s="200"/>
      <c r="D57" s="200"/>
      <c r="E57" s="200"/>
      <c r="F57" s="200"/>
      <c r="H57" s="200"/>
      <c r="I57" s="201"/>
      <c r="J57" s="200"/>
      <c r="L57" s="200"/>
      <c r="N57" s="200"/>
      <c r="O57" s="201"/>
      <c r="P57" s="200"/>
      <c r="Q57" s="201"/>
      <c r="R57" s="201"/>
    </row>
    <row r="58" spans="1:20" ht="15" customHeight="1" x14ac:dyDescent="0.15">
      <c r="C58" s="56"/>
      <c r="D58" s="56"/>
      <c r="E58" s="56"/>
      <c r="F58" s="56"/>
      <c r="G58" s="56"/>
      <c r="H58" s="56"/>
      <c r="I58" s="56"/>
      <c r="J58" s="56"/>
      <c r="K58" s="56"/>
      <c r="L58" s="56"/>
      <c r="M58" s="56"/>
      <c r="N58" s="56"/>
      <c r="O58" s="56"/>
      <c r="P58" s="56"/>
      <c r="Q58" s="56"/>
      <c r="R58" s="56"/>
      <c r="S58" s="56"/>
      <c r="T58" s="56"/>
    </row>
    <row r="59" spans="1:20" ht="12.75" hidden="1" customHeight="1" x14ac:dyDescent="0.15">
      <c r="A59" s="190" t="s">
        <v>61</v>
      </c>
      <c r="B59" s="191" t="b">
        <v>1</v>
      </c>
      <c r="C59" s="200"/>
      <c r="D59" s="200"/>
      <c r="E59" s="200"/>
      <c r="F59" s="200"/>
      <c r="G59" s="201"/>
      <c r="H59" s="200"/>
      <c r="I59" s="201"/>
      <c r="J59" s="201"/>
      <c r="K59" s="201"/>
      <c r="L59" s="200"/>
      <c r="M59" s="201"/>
      <c r="N59" s="200"/>
      <c r="O59" s="201"/>
      <c r="P59" s="200"/>
      <c r="Q59" s="201"/>
      <c r="R59" s="201"/>
    </row>
    <row r="60" spans="1:20" s="58" customFormat="1" ht="15" hidden="1" customHeight="1" x14ac:dyDescent="0.15">
      <c r="A60" s="80" t="s">
        <v>100</v>
      </c>
      <c r="B60" s="192" t="b">
        <v>1</v>
      </c>
      <c r="G60" s="59"/>
      <c r="K60" s="59"/>
      <c r="M60" s="59"/>
    </row>
    <row r="61" spans="1:20" s="58" customFormat="1" ht="9.75" hidden="1" x14ac:dyDescent="0.15">
      <c r="A61" s="80" t="s">
        <v>274</v>
      </c>
      <c r="B61" s="192" t="b">
        <v>1</v>
      </c>
      <c r="N61" s="60"/>
    </row>
    <row r="62" spans="1:20" s="58" customFormat="1" ht="9.75" hidden="1" x14ac:dyDescent="0.15">
      <c r="A62" s="139" t="s">
        <v>219</v>
      </c>
      <c r="B62" s="122" t="s">
        <v>101</v>
      </c>
      <c r="C62" s="97" t="s">
        <v>22</v>
      </c>
      <c r="D62" s="97" t="s">
        <v>102</v>
      </c>
      <c r="E62" s="97" t="s">
        <v>103</v>
      </c>
      <c r="F62" s="98" t="s">
        <v>104</v>
      </c>
      <c r="G62" s="97" t="s">
        <v>24</v>
      </c>
      <c r="H62" s="97" t="s">
        <v>105</v>
      </c>
      <c r="I62" s="97" t="s">
        <v>25</v>
      </c>
      <c r="J62" s="97" t="s">
        <v>106</v>
      </c>
      <c r="K62" s="97" t="s">
        <v>26</v>
      </c>
      <c r="L62" s="97" t="s">
        <v>107</v>
      </c>
      <c r="M62" s="97" t="s">
        <v>27</v>
      </c>
      <c r="N62" s="97" t="s">
        <v>108</v>
      </c>
      <c r="O62" s="97" t="s">
        <v>1</v>
      </c>
      <c r="P62" s="97" t="s">
        <v>109</v>
      </c>
      <c r="Q62" s="99" t="s">
        <v>110</v>
      </c>
    </row>
    <row r="63" spans="1:20" s="58" customFormat="1" ht="9.75" hidden="1" x14ac:dyDescent="0.15">
      <c r="A63" s="87" t="s">
        <v>62</v>
      </c>
      <c r="B63" s="96" t="b">
        <v>1</v>
      </c>
      <c r="C63" s="97"/>
      <c r="D63" s="97"/>
      <c r="E63" s="97"/>
      <c r="F63" s="98">
        <f>$B$63*($F$9="破苍穹")*($G$11="期声")*0.1</f>
        <v>0.1</v>
      </c>
      <c r="G63" s="97"/>
      <c r="H63" s="98"/>
      <c r="I63" s="98"/>
      <c r="J63" s="98">
        <f>$B$63*($F$9="破苍穹")*(0.05+($H$11="抱阳")*0.05)</f>
        <v>0.1</v>
      </c>
      <c r="K63" s="97"/>
      <c r="L63" s="98">
        <f>$B$63*($F$9="破苍穹")*(0.1+($H$11="抱阳")*0.1)</f>
        <v>0.2</v>
      </c>
      <c r="M63" s="97"/>
      <c r="N63" s="98"/>
      <c r="O63" s="97"/>
      <c r="P63" s="98"/>
      <c r="Q63" s="98"/>
    </row>
    <row r="64" spans="1:20" s="58" customFormat="1" ht="9.75" hidden="1" x14ac:dyDescent="0.15">
      <c r="A64" s="87" t="s">
        <v>111</v>
      </c>
      <c r="B64" s="96" t="b">
        <v>1</v>
      </c>
      <c r="C64" s="97"/>
      <c r="D64" s="97"/>
      <c r="E64" s="97"/>
      <c r="F64" s="98">
        <f>B64*0.3*0.1</f>
        <v>0.03</v>
      </c>
      <c r="G64" s="97"/>
      <c r="H64" s="98"/>
      <c r="I64" s="98"/>
      <c r="J64" s="98"/>
      <c r="K64" s="97"/>
      <c r="L64" s="98"/>
      <c r="M64" s="97"/>
      <c r="N64" s="98"/>
      <c r="O64" s="97"/>
      <c r="P64" s="98"/>
      <c r="Q64" s="98"/>
    </row>
    <row r="65" spans="1:17" s="58" customFormat="1" ht="9.75" hidden="1" x14ac:dyDescent="0.15">
      <c r="A65" s="87" t="s">
        <v>63</v>
      </c>
      <c r="B65" s="96" t="b">
        <v>0</v>
      </c>
      <c r="C65" s="97"/>
      <c r="D65" s="97"/>
      <c r="E65" s="97"/>
      <c r="F65" s="98"/>
      <c r="G65" s="97"/>
      <c r="H65" s="98"/>
      <c r="I65" s="98"/>
      <c r="J65" s="98"/>
      <c r="K65" s="97"/>
      <c r="L65" s="98"/>
      <c r="M65" s="97"/>
      <c r="N65" s="98"/>
      <c r="O65" s="97"/>
      <c r="P65" s="98"/>
      <c r="Q65" s="98">
        <f>$B$65*(0.1*($N$18-7.5)/$N$18+0.4/$N$18)</f>
        <v>0</v>
      </c>
    </row>
    <row r="66" spans="1:17" s="58" customFormat="1" ht="9.75" hidden="1" x14ac:dyDescent="0.15">
      <c r="A66" s="87" t="s">
        <v>66</v>
      </c>
      <c r="B66" s="96" t="b">
        <v>0</v>
      </c>
      <c r="C66" s="97"/>
      <c r="D66" s="97"/>
      <c r="E66" s="97"/>
      <c r="F66" s="98">
        <f>0.1*B66</f>
        <v>0</v>
      </c>
      <c r="G66" s="97"/>
      <c r="H66" s="98"/>
      <c r="I66" s="98"/>
      <c r="J66" s="98"/>
      <c r="K66" s="97"/>
      <c r="L66" s="98"/>
      <c r="M66" s="97"/>
      <c r="N66" s="98"/>
      <c r="O66" s="97"/>
      <c r="P66" s="98"/>
      <c r="Q66" s="98"/>
    </row>
    <row r="67" spans="1:17" s="58" customFormat="1" ht="9.75" hidden="1" x14ac:dyDescent="0.15">
      <c r="A67" s="87" t="s">
        <v>67</v>
      </c>
      <c r="B67" s="96" t="b">
        <v>0</v>
      </c>
      <c r="C67" s="97"/>
      <c r="D67" s="97"/>
      <c r="E67" s="97"/>
      <c r="F67" s="98"/>
      <c r="G67" s="97"/>
      <c r="H67" s="98"/>
      <c r="I67" s="98"/>
      <c r="J67" s="98"/>
      <c r="K67" s="97"/>
      <c r="L67" s="98"/>
      <c r="M67" s="97"/>
      <c r="N67" s="98"/>
      <c r="O67" s="97"/>
      <c r="P67" s="98"/>
      <c r="Q67" s="98">
        <f>$B$67*(6%*($N$18-9)/$N$18+3*(0.02+0.04)/$N$18)</f>
        <v>0</v>
      </c>
    </row>
    <row r="68" spans="1:17" s="58" customFormat="1" ht="9.75" hidden="1" x14ac:dyDescent="0.15">
      <c r="A68" s="87" t="s">
        <v>64</v>
      </c>
      <c r="B68" s="96" t="b">
        <v>0</v>
      </c>
      <c r="C68" s="97">
        <f>B68*37</f>
        <v>0</v>
      </c>
      <c r="D68" s="97">
        <f>B68*37</f>
        <v>0</v>
      </c>
      <c r="E68" s="97"/>
      <c r="F68" s="98"/>
      <c r="G68" s="97"/>
      <c r="H68" s="98"/>
      <c r="I68" s="98"/>
      <c r="J68" s="98"/>
      <c r="K68" s="97"/>
      <c r="L68" s="98"/>
      <c r="M68" s="97"/>
      <c r="N68" s="98"/>
      <c r="O68" s="97"/>
      <c r="P68" s="98"/>
      <c r="Q68" s="98"/>
    </row>
    <row r="69" spans="1:17" s="58" customFormat="1" ht="9.75" hidden="1" x14ac:dyDescent="0.15">
      <c r="A69" s="87" t="s">
        <v>65</v>
      </c>
      <c r="B69" s="96" t="b">
        <v>0</v>
      </c>
      <c r="C69" s="97"/>
      <c r="D69" s="97"/>
      <c r="E69" s="97"/>
      <c r="F69" s="98"/>
      <c r="G69" s="97"/>
      <c r="H69" s="98">
        <f>B69*0.01</f>
        <v>0</v>
      </c>
      <c r="I69" s="98"/>
      <c r="J69" s="98"/>
      <c r="K69" s="97"/>
      <c r="L69" s="98"/>
      <c r="M69" s="97"/>
      <c r="N69" s="98">
        <f>B69*0.03</f>
        <v>0</v>
      </c>
      <c r="O69" s="97"/>
      <c r="P69" s="98"/>
      <c r="Q69" s="98"/>
    </row>
    <row r="70" spans="1:17" s="58" customFormat="1" ht="9.75" hidden="1" x14ac:dyDescent="0.15">
      <c r="A70" s="87" t="s">
        <v>68</v>
      </c>
      <c r="B70" s="96" t="b">
        <v>0</v>
      </c>
      <c r="C70" s="97"/>
      <c r="D70" s="97"/>
      <c r="E70" s="97"/>
      <c r="F70" s="98">
        <f>$B$70*IF(QUOTIENT($N$18,300)=0,8*0.2/$N$18,((QUOTIENT($N$18,300)+1)*8+MIN(MOD($N$18,300),8))*0.2/$N$18)</f>
        <v>0</v>
      </c>
      <c r="G70" s="97"/>
      <c r="H70" s="98"/>
      <c r="I70" s="98"/>
      <c r="J70" s="98"/>
      <c r="K70" s="97"/>
      <c r="L70" s="98"/>
      <c r="M70" s="97"/>
      <c r="N70" s="98"/>
      <c r="O70" s="97"/>
      <c r="P70" s="98"/>
      <c r="Q70" s="98">
        <f>$B$70*0.03</f>
        <v>0</v>
      </c>
    </row>
    <row r="71" spans="1:17" s="58" customFormat="1" ht="9.75" hidden="1" x14ac:dyDescent="0.15">
      <c r="A71" s="87" t="s">
        <v>70</v>
      </c>
      <c r="B71" s="96" t="b">
        <v>0</v>
      </c>
      <c r="C71" s="97"/>
      <c r="D71" s="97"/>
      <c r="E71" s="97"/>
      <c r="F71" s="98">
        <f>$B$71*IF(QUOTIENT($N$18,120)=0,30*0.45/$N$18,((QUOTIENT($N$18,120)+1)*30+MIN(MOD($N$18,120),30))*0.45/$N$18)</f>
        <v>0</v>
      </c>
      <c r="G71" s="97"/>
      <c r="H71" s="98"/>
      <c r="I71" s="98"/>
      <c r="J71" s="98"/>
      <c r="K71" s="97"/>
      <c r="L71" s="98"/>
      <c r="M71" s="97"/>
      <c r="N71" s="98"/>
      <c r="O71" s="97"/>
      <c r="P71" s="98"/>
      <c r="Q71" s="98"/>
    </row>
    <row r="72" spans="1:17" s="58" customFormat="1" ht="9.75" hidden="1" x14ac:dyDescent="0.15">
      <c r="A72" s="87" t="s">
        <v>69</v>
      </c>
      <c r="B72" s="96" t="b">
        <v>0</v>
      </c>
      <c r="C72" s="97"/>
      <c r="D72" s="97"/>
      <c r="E72" s="97"/>
      <c r="F72" s="98"/>
      <c r="G72" s="97"/>
      <c r="H72" s="98"/>
      <c r="I72" s="98"/>
      <c r="J72" s="98"/>
      <c r="K72" s="97"/>
      <c r="L72" s="98"/>
      <c r="M72" s="97"/>
      <c r="N72" s="98"/>
      <c r="O72" s="97"/>
      <c r="P72" s="98"/>
      <c r="Q72" s="98">
        <f>$B$72*2%</f>
        <v>0</v>
      </c>
    </row>
    <row r="73" spans="1:17" s="58" customFormat="1" ht="9.75" hidden="1" x14ac:dyDescent="0.15">
      <c r="A73" s="87" t="s">
        <v>71</v>
      </c>
      <c r="B73" s="96" t="b">
        <v>0</v>
      </c>
      <c r="C73" s="97"/>
      <c r="D73" s="97"/>
      <c r="E73" s="97"/>
      <c r="F73" s="98">
        <f>$B$73*(0.45*30)/$N$18</f>
        <v>0</v>
      </c>
      <c r="G73" s="97"/>
      <c r="H73" s="98"/>
      <c r="I73" s="98"/>
      <c r="J73" s="98"/>
      <c r="K73" s="97"/>
      <c r="L73" s="98"/>
      <c r="M73" s="97"/>
      <c r="N73" s="98"/>
      <c r="O73" s="97"/>
      <c r="P73" s="98"/>
      <c r="Q73" s="98"/>
    </row>
    <row r="74" spans="1:17" s="58" customFormat="1" ht="9.75" hidden="1" x14ac:dyDescent="0.15">
      <c r="A74" s="87" t="s">
        <v>112</v>
      </c>
      <c r="B74" s="96" t="b">
        <f>A74=N1</f>
        <v>0</v>
      </c>
      <c r="C74" s="97"/>
      <c r="D74" s="97"/>
      <c r="E74" s="97"/>
      <c r="F74" s="98">
        <f>$B$74*0.05</f>
        <v>0</v>
      </c>
      <c r="G74" s="97"/>
      <c r="H74" s="98"/>
      <c r="I74" s="98"/>
      <c r="J74" s="98">
        <f>B74*0.03</f>
        <v>0</v>
      </c>
      <c r="K74" s="97"/>
      <c r="L74" s="98">
        <f>B74*0.1</f>
        <v>0</v>
      </c>
      <c r="M74" s="97"/>
      <c r="N74" s="98"/>
      <c r="O74" s="97"/>
      <c r="P74" s="98">
        <f>$B$74*0.1*0.45</f>
        <v>0</v>
      </c>
      <c r="Q74" s="98"/>
    </row>
    <row r="75" spans="1:17" s="58" customFormat="1" ht="9.75" hidden="1" x14ac:dyDescent="0.15">
      <c r="A75" s="87" t="s">
        <v>113</v>
      </c>
      <c r="B75" s="96" t="b">
        <f>A75=N1</f>
        <v>0</v>
      </c>
      <c r="C75" s="97"/>
      <c r="D75" s="97"/>
      <c r="E75" s="97"/>
      <c r="F75" s="98">
        <f>$B$75*0.05</f>
        <v>0</v>
      </c>
      <c r="G75" s="97"/>
      <c r="H75" s="98"/>
      <c r="I75" s="98"/>
      <c r="J75" s="98"/>
      <c r="K75" s="97"/>
      <c r="L75" s="98"/>
      <c r="M75" s="97"/>
      <c r="N75" s="98"/>
      <c r="O75" s="97"/>
      <c r="P75" s="98">
        <f>$B$75*0.2</f>
        <v>0</v>
      </c>
      <c r="Q75" s="98"/>
    </row>
    <row r="76" spans="1:17" s="58" customFormat="1" ht="9.75" hidden="1" x14ac:dyDescent="0.15">
      <c r="A76" s="87" t="s">
        <v>114</v>
      </c>
      <c r="B76" s="96" t="b">
        <f>A76=N1</f>
        <v>0</v>
      </c>
      <c r="C76" s="97"/>
      <c r="D76" s="97"/>
      <c r="E76" s="97"/>
      <c r="F76" s="98"/>
      <c r="G76" s="97"/>
      <c r="H76" s="98">
        <f>$B$76*0.03</f>
        <v>0</v>
      </c>
      <c r="I76" s="98"/>
      <c r="J76" s="98">
        <f>$B$76*(0.03+((5/0.55/4*($S$107*6)/5)*(0.01+0.02+0.03+0.04)+(0.05*(N18-5/0.55/4*($S$107*6))))/N18)</f>
        <v>0</v>
      </c>
      <c r="K76" s="97"/>
      <c r="L76" s="98">
        <f>$B$76*0.1</f>
        <v>0</v>
      </c>
      <c r="M76" s="97"/>
      <c r="N76" s="98"/>
      <c r="O76" s="97"/>
      <c r="P76" s="98"/>
      <c r="Q76" s="98"/>
    </row>
    <row r="77" spans="1:17" s="58" customFormat="1" ht="9.75" hidden="1" x14ac:dyDescent="0.15">
      <c r="A77" s="129" t="s">
        <v>115</v>
      </c>
      <c r="B77" s="189" t="b">
        <f>A77=N1</f>
        <v>0</v>
      </c>
      <c r="C77" s="97"/>
      <c r="D77" s="97"/>
      <c r="E77" s="97"/>
      <c r="F77" s="98">
        <f>$B$77*(0.05+((7.3*(0.02+0.04+0.06+0.08)+(0.1*($N$18-29.2)))/$N$18))</f>
        <v>0</v>
      </c>
      <c r="G77" s="97"/>
      <c r="H77" s="98">
        <f>$B$77*0.03</f>
        <v>0</v>
      </c>
      <c r="I77" s="98"/>
      <c r="J77" s="98"/>
      <c r="K77" s="97"/>
      <c r="L77" s="98"/>
      <c r="M77" s="97"/>
      <c r="N77" s="98"/>
      <c r="O77" s="97"/>
      <c r="P77" s="98">
        <f>$B$77*20%</f>
        <v>0</v>
      </c>
      <c r="Q77" s="98"/>
    </row>
    <row r="78" spans="1:17" s="58" customFormat="1" ht="9.75" hidden="1" x14ac:dyDescent="0.15">
      <c r="C78" s="97"/>
      <c r="D78" s="97"/>
      <c r="E78" s="97"/>
      <c r="F78" s="97"/>
      <c r="G78" s="97"/>
      <c r="H78" s="97"/>
      <c r="I78" s="97"/>
      <c r="J78" s="97"/>
      <c r="K78" s="97"/>
      <c r="L78" s="97"/>
      <c r="M78" s="97"/>
      <c r="N78" s="97"/>
      <c r="O78" s="97"/>
      <c r="P78" s="97"/>
      <c r="Q78" s="97"/>
    </row>
    <row r="79" spans="1:17" s="58" customFormat="1" ht="9.75" hidden="1" x14ac:dyDescent="0.15">
      <c r="C79" s="97"/>
      <c r="D79" s="97"/>
      <c r="E79" s="97"/>
      <c r="F79" s="97"/>
      <c r="G79" s="97"/>
      <c r="H79" s="97"/>
      <c r="I79" s="97"/>
      <c r="J79" s="97"/>
      <c r="K79" s="97"/>
      <c r="L79" s="97"/>
      <c r="M79" s="97"/>
      <c r="N79" s="97"/>
      <c r="O79" s="97"/>
      <c r="P79" s="97"/>
      <c r="Q79" s="97"/>
    </row>
    <row r="80" spans="1:17" s="58" customFormat="1" ht="9.75" hidden="1" x14ac:dyDescent="0.15">
      <c r="A80" s="100" t="s">
        <v>116</v>
      </c>
      <c r="B80" s="86"/>
      <c r="C80" s="97">
        <f>M5</f>
        <v>0</v>
      </c>
      <c r="D80" s="97">
        <f>N5</f>
        <v>0</v>
      </c>
      <c r="E80" s="97">
        <f>O5</f>
        <v>0</v>
      </c>
      <c r="F80" s="98"/>
      <c r="G80" s="97">
        <f>P5</f>
        <v>0</v>
      </c>
      <c r="H80" s="98"/>
      <c r="I80" s="97">
        <f>Q5</f>
        <v>0</v>
      </c>
      <c r="J80" s="98"/>
      <c r="K80" s="97">
        <f>R5</f>
        <v>0</v>
      </c>
      <c r="L80" s="98"/>
      <c r="M80" s="97">
        <f>S5</f>
        <v>0</v>
      </c>
      <c r="N80" s="98"/>
      <c r="O80" s="97">
        <f>T5</f>
        <v>0</v>
      </c>
      <c r="P80" s="98"/>
      <c r="Q80" s="98"/>
    </row>
    <row r="81" spans="1:18" s="58" customFormat="1" hidden="1" x14ac:dyDescent="0.15">
      <c r="A81" s="144" t="s">
        <v>237</v>
      </c>
      <c r="B81" s="86"/>
      <c r="C81" s="144">
        <f>SUM(C$63:C$80)</f>
        <v>0</v>
      </c>
      <c r="D81" s="143">
        <f t="shared" ref="D81:P81" si="1">SUM(D$63:D$80)</f>
        <v>0</v>
      </c>
      <c r="E81" s="144">
        <f>SUM(E$63:E$80)+$D$81*$K$96</f>
        <v>0</v>
      </c>
      <c r="F81" s="145">
        <f t="shared" si="1"/>
        <v>0.13</v>
      </c>
      <c r="G81" s="143">
        <f t="shared" si="1"/>
        <v>0</v>
      </c>
      <c r="H81" s="145">
        <f>SUM(H$63:H$80)+$G$81/$M$95</f>
        <v>0</v>
      </c>
      <c r="I81" s="143">
        <f t="shared" si="1"/>
        <v>0</v>
      </c>
      <c r="J81" s="145">
        <f>SUM(J$63:J$80)+$I$81/$M$96</f>
        <v>0.1</v>
      </c>
      <c r="K81" s="143">
        <f t="shared" si="1"/>
        <v>0</v>
      </c>
      <c r="L81" s="145">
        <f>SUM(L$63:L$80)+$K$81/$M$97</f>
        <v>0.2</v>
      </c>
      <c r="M81" s="143">
        <f t="shared" si="1"/>
        <v>0</v>
      </c>
      <c r="N81" s="145">
        <f>SUM(N$63:N$80)+$M$81/$M$98</f>
        <v>0</v>
      </c>
      <c r="O81" s="144">
        <f>SUM(O$63:O$80)+$D$81*$K$97</f>
        <v>0</v>
      </c>
      <c r="P81" s="98">
        <f t="shared" si="1"/>
        <v>0</v>
      </c>
      <c r="Q81" s="145">
        <f>SUM(Q63:Q80)</f>
        <v>0</v>
      </c>
    </row>
    <row r="82" spans="1:18" s="58" customFormat="1" ht="9.75" hidden="1" x14ac:dyDescent="0.15">
      <c r="L82" s="64"/>
    </row>
    <row r="83" spans="1:18" s="58" customFormat="1" ht="9.75" hidden="1" x14ac:dyDescent="0.15">
      <c r="G83" s="64"/>
      <c r="I83" s="64"/>
      <c r="J83" s="64"/>
      <c r="K83" s="64"/>
      <c r="M83" s="64"/>
      <c r="O83" s="64"/>
      <c r="Q83" s="64"/>
      <c r="R83" s="64"/>
    </row>
    <row r="84" spans="1:18" s="58" customFormat="1" ht="9.75" hidden="1" x14ac:dyDescent="0.15">
      <c r="G84" s="64"/>
      <c r="I84" s="64"/>
      <c r="J84" s="64"/>
      <c r="K84" s="64"/>
      <c r="M84" s="64"/>
      <c r="O84" s="64"/>
      <c r="Q84" s="64"/>
      <c r="R84" s="64"/>
    </row>
    <row r="85" spans="1:18" s="58" customFormat="1" ht="9.75" hidden="1" x14ac:dyDescent="0.15">
      <c r="G85" s="64"/>
      <c r="I85" s="64"/>
      <c r="J85" s="64"/>
      <c r="K85" s="64"/>
      <c r="M85" s="64"/>
      <c r="O85" s="64"/>
      <c r="Q85" s="64"/>
      <c r="R85" s="64"/>
    </row>
    <row r="86" spans="1:18" s="58" customFormat="1" ht="9.75" hidden="1" x14ac:dyDescent="0.15">
      <c r="G86" s="64"/>
      <c r="I86" s="64"/>
      <c r="J86" s="64"/>
      <c r="K86" s="64"/>
      <c r="M86" s="64"/>
      <c r="O86" s="64"/>
      <c r="Q86" s="64"/>
      <c r="R86" s="64"/>
    </row>
    <row r="87" spans="1:18" s="58" customFormat="1" ht="9.75" hidden="1" x14ac:dyDescent="0.15">
      <c r="G87" s="64"/>
      <c r="I87" s="64"/>
      <c r="J87" s="64"/>
      <c r="K87" s="64"/>
      <c r="M87" s="64"/>
      <c r="O87" s="64"/>
      <c r="Q87" s="64"/>
      <c r="R87" s="64"/>
    </row>
    <row r="88" spans="1:18" s="58" customFormat="1" ht="9.75" hidden="1" x14ac:dyDescent="0.15"/>
    <row r="89" spans="1:18" s="58" customFormat="1" ht="9.75" hidden="1" x14ac:dyDescent="0.15"/>
    <row r="90" spans="1:18" s="58" customFormat="1" ht="9.75" hidden="1" x14ac:dyDescent="0.15">
      <c r="A90" s="65" t="s">
        <v>221</v>
      </c>
      <c r="N90" s="68"/>
      <c r="O90" s="212"/>
    </row>
    <row r="91" spans="1:18" s="58" customFormat="1" ht="9.75" hidden="1" x14ac:dyDescent="0.15">
      <c r="A91" s="58" t="s">
        <v>121</v>
      </c>
      <c r="B91" s="58">
        <f>$B$2+$C$81</f>
        <v>980</v>
      </c>
      <c r="N91" s="68"/>
      <c r="O91" s="212"/>
    </row>
    <row r="92" spans="1:18" s="58" customFormat="1" ht="9.75" hidden="1" x14ac:dyDescent="0.15">
      <c r="A92" s="58" t="s">
        <v>124</v>
      </c>
      <c r="B92" s="66">
        <f>($B$3-$B$2*$J$95)+E81</f>
        <v>3235</v>
      </c>
      <c r="N92" s="68"/>
      <c r="O92" s="212"/>
    </row>
    <row r="93" spans="1:18" s="58" customFormat="1" ht="9.75" hidden="1" x14ac:dyDescent="0.15">
      <c r="A93" s="58" t="s">
        <v>122</v>
      </c>
      <c r="B93" s="66">
        <f>$B$91*$J$95+$B$92*(1+$F$81)</f>
        <v>5370.5499999999993</v>
      </c>
      <c r="N93" s="68"/>
      <c r="O93" s="212"/>
    </row>
    <row r="94" spans="1:18" s="58" customFormat="1" ht="9.75" hidden="1" x14ac:dyDescent="0.15">
      <c r="A94" s="58" t="s">
        <v>128</v>
      </c>
      <c r="B94" s="64">
        <f>$B$4+H$81</f>
        <v>1.079</v>
      </c>
      <c r="I94" s="95" t="s">
        <v>117</v>
      </c>
      <c r="J94" s="86" t="s">
        <v>118</v>
      </c>
      <c r="K94" s="86" t="s">
        <v>119</v>
      </c>
      <c r="L94" s="95" t="s">
        <v>120</v>
      </c>
      <c r="M94" s="146"/>
      <c r="N94" s="68"/>
      <c r="O94" s="212"/>
    </row>
    <row r="95" spans="1:18" s="58" customFormat="1" ht="9.75" hidden="1" x14ac:dyDescent="0.15">
      <c r="A95" s="58" t="s">
        <v>131</v>
      </c>
      <c r="B95" s="64">
        <f>$B$5+$J$81</f>
        <v>0.39439999999999997</v>
      </c>
      <c r="I95" s="86" t="s">
        <v>122</v>
      </c>
      <c r="J95" s="86">
        <v>1.75</v>
      </c>
      <c r="K95" s="86">
        <v>0</v>
      </c>
      <c r="L95" s="86" t="s">
        <v>123</v>
      </c>
      <c r="M95" s="86">
        <v>3424.7249999999999</v>
      </c>
      <c r="N95" s="68"/>
      <c r="O95" s="212"/>
    </row>
    <row r="96" spans="1:18" s="58" customFormat="1" ht="9.75" hidden="1" x14ac:dyDescent="0.15">
      <c r="A96" s="58" t="s">
        <v>132</v>
      </c>
      <c r="B96" s="64">
        <f>$B$6+$L$81</f>
        <v>2.4604000000000004</v>
      </c>
      <c r="I96" s="86" t="s">
        <v>124</v>
      </c>
      <c r="J96" s="86">
        <v>0</v>
      </c>
      <c r="K96" s="86">
        <v>0.18</v>
      </c>
      <c r="L96" s="86" t="s">
        <v>125</v>
      </c>
      <c r="M96" s="86">
        <v>4143.9250000000002</v>
      </c>
      <c r="N96" s="68"/>
      <c r="O96" s="212"/>
    </row>
    <row r="97" spans="1:21" s="58" customFormat="1" ht="9.75" hidden="1" x14ac:dyDescent="0.15">
      <c r="A97" s="58" t="s">
        <v>133</v>
      </c>
      <c r="B97" s="66">
        <f>($B$7+$O$81)*(1+$P$81)</f>
        <v>1496</v>
      </c>
      <c r="H97" s="68"/>
      <c r="I97" s="86" t="s">
        <v>126</v>
      </c>
      <c r="J97" s="86">
        <v>0</v>
      </c>
      <c r="K97" s="86">
        <v>0.25</v>
      </c>
      <c r="L97" s="86" t="s">
        <v>127</v>
      </c>
      <c r="M97" s="86">
        <v>1506.6</v>
      </c>
      <c r="N97" s="68"/>
      <c r="O97" s="212"/>
    </row>
    <row r="98" spans="1:21" s="58" customFormat="1" ht="9.75" hidden="1" x14ac:dyDescent="0.15">
      <c r="A98" s="58" t="s">
        <v>134</v>
      </c>
      <c r="B98" s="64">
        <f>$B$8+$N81</f>
        <v>0.32390000000000002</v>
      </c>
      <c r="H98" s="68"/>
      <c r="I98" s="86" t="s">
        <v>129</v>
      </c>
      <c r="J98" s="86">
        <f>0.3+0.23</f>
        <v>0.53</v>
      </c>
      <c r="K98" s="86">
        <v>0</v>
      </c>
      <c r="L98" s="86" t="s">
        <v>130</v>
      </c>
      <c r="M98" s="86">
        <v>2568.35</v>
      </c>
      <c r="N98" s="68"/>
      <c r="O98" s="212"/>
    </row>
    <row r="99" spans="1:21" s="58" customFormat="1" ht="9.75" hidden="1" x14ac:dyDescent="0.15">
      <c r="A99" s="58" t="s">
        <v>135</v>
      </c>
      <c r="B99" s="67">
        <f>B9*M100</f>
        <v>158.97722250000001</v>
      </c>
      <c r="H99" s="71"/>
      <c r="I99" s="86" t="s">
        <v>26</v>
      </c>
      <c r="J99" s="86">
        <f>0.18+0.08</f>
        <v>0.26</v>
      </c>
      <c r="K99" s="86">
        <v>0</v>
      </c>
      <c r="L99" s="86" t="s">
        <v>1</v>
      </c>
      <c r="M99" s="86">
        <v>3616.9250000000002</v>
      </c>
      <c r="N99" s="68"/>
      <c r="O99" s="212"/>
    </row>
    <row r="100" spans="1:21" s="58" customFormat="1" ht="9.75" hidden="1" x14ac:dyDescent="0.15">
      <c r="A100" s="58" t="s">
        <v>28</v>
      </c>
      <c r="B100" s="66">
        <f>B10/1000</f>
        <v>0.23799999999999999</v>
      </c>
      <c r="I100" s="86"/>
      <c r="J100" s="86"/>
      <c r="K100" s="86"/>
      <c r="L100" s="86" t="s">
        <v>14</v>
      </c>
      <c r="M100" s="86">
        <v>4717.4250000000002</v>
      </c>
      <c r="N100" s="68"/>
      <c r="O100" s="212"/>
    </row>
    <row r="101" spans="1:21" s="58" customFormat="1" ht="9.75" hidden="1" x14ac:dyDescent="0.15">
      <c r="N101" s="68"/>
      <c r="O101" s="212"/>
    </row>
    <row r="102" spans="1:21" s="58" customFormat="1" ht="9.75" hidden="1" x14ac:dyDescent="0.15">
      <c r="N102" s="68"/>
      <c r="O102" s="212"/>
    </row>
    <row r="103" spans="1:21" s="58" customFormat="1" ht="9.75" hidden="1" x14ac:dyDescent="0.15">
      <c r="A103" s="95" t="s">
        <v>218</v>
      </c>
      <c r="B103" s="86" t="s">
        <v>13</v>
      </c>
      <c r="C103" s="86" t="s">
        <v>59</v>
      </c>
      <c r="D103" s="86" t="s">
        <v>136</v>
      </c>
      <c r="E103" s="86" t="s">
        <v>137</v>
      </c>
      <c r="F103" s="86" t="s">
        <v>10</v>
      </c>
      <c r="G103" s="86" t="s">
        <v>138</v>
      </c>
      <c r="H103" s="86" t="s">
        <v>98</v>
      </c>
      <c r="I103" s="86" t="s">
        <v>99</v>
      </c>
      <c r="J103" s="86" t="s">
        <v>139</v>
      </c>
      <c r="K103" s="86" t="s">
        <v>17</v>
      </c>
      <c r="L103" s="86" t="s">
        <v>140</v>
      </c>
      <c r="M103" s="86" t="s">
        <v>141</v>
      </c>
      <c r="N103" s="68"/>
      <c r="O103" s="213" t="s">
        <v>220</v>
      </c>
    </row>
    <row r="104" spans="1:21" s="58" customFormat="1" ht="9.75" hidden="1" x14ac:dyDescent="0.15">
      <c r="A104" s="86" t="s">
        <v>149</v>
      </c>
      <c r="B104" s="86">
        <v>76</v>
      </c>
      <c r="C104" s="86">
        <v>190</v>
      </c>
      <c r="D104" s="86">
        <v>28</v>
      </c>
      <c r="E104" s="86">
        <v>285.5</v>
      </c>
      <c r="F104" s="86">
        <v>215.5</v>
      </c>
      <c r="G104" s="86">
        <v>215.5</v>
      </c>
      <c r="H104" s="86">
        <v>215.5</v>
      </c>
      <c r="I104" s="86">
        <v>215.5</v>
      </c>
      <c r="J104" s="86">
        <v>104</v>
      </c>
      <c r="K104" s="86">
        <f>50*($F$11="气竭")</f>
        <v>50</v>
      </c>
      <c r="L104" s="86">
        <v>81.5</v>
      </c>
      <c r="M104" s="86">
        <v>207</v>
      </c>
      <c r="N104" s="68"/>
      <c r="O104" s="214" t="s">
        <v>142</v>
      </c>
      <c r="P104" s="86" t="s">
        <v>143</v>
      </c>
      <c r="Q104" s="86" t="s">
        <v>144</v>
      </c>
      <c r="R104" s="86" t="s">
        <v>145</v>
      </c>
      <c r="S104" s="86" t="s">
        <v>146</v>
      </c>
      <c r="T104" s="86" t="s">
        <v>147</v>
      </c>
      <c r="U104" s="86" t="s">
        <v>148</v>
      </c>
    </row>
    <row r="105" spans="1:21" s="58" customFormat="1" ht="9.75" hidden="1" x14ac:dyDescent="0.15">
      <c r="A105" s="86" t="s">
        <v>150</v>
      </c>
      <c r="B105" s="104">
        <v>0.45834872114966746</v>
      </c>
      <c r="C105" s="104">
        <v>1.0156238109942</v>
      </c>
      <c r="D105" s="104">
        <v>0.12503912693857439</v>
      </c>
      <c r="E105" s="104">
        <v>1.2604067080163337</v>
      </c>
      <c r="F105" s="104">
        <v>1.4010138813915596</v>
      </c>
      <c r="G105" s="104">
        <v>1.4010138813915596</v>
      </c>
      <c r="H105" s="104">
        <v>1.4010138813915596</v>
      </c>
      <c r="I105" s="104">
        <v>1.4010138813915596</v>
      </c>
      <c r="J105" s="104">
        <v>0.41666909923814593</v>
      </c>
      <c r="K105" s="104">
        <f>0.30199640421685*($F$11="气竭")</f>
        <v>0.30199640421684998</v>
      </c>
      <c r="L105" s="104">
        <v>8.3381425031331294E-2</v>
      </c>
      <c r="M105" s="104">
        <v>0.42712450134163504</v>
      </c>
      <c r="N105" s="68"/>
      <c r="O105" s="215">
        <v>0</v>
      </c>
      <c r="P105" s="105">
        <v>0</v>
      </c>
      <c r="Q105" s="104">
        <f>B99</f>
        <v>158.97722250000001</v>
      </c>
      <c r="R105" s="104">
        <f>B99</f>
        <v>158.97722250000001</v>
      </c>
      <c r="S105" s="86">
        <f>VLOOKUP(R105,$O$114:$Q$119,3,1)</f>
        <v>1.4375</v>
      </c>
      <c r="T105" s="107">
        <f>S105+$B$100</f>
        <v>1.6755</v>
      </c>
      <c r="U105" s="107">
        <f>1.5-S105</f>
        <v>6.25E-2</v>
      </c>
    </row>
    <row r="106" spans="1:21" s="58" customFormat="1" ht="9.75" hidden="1" x14ac:dyDescent="0.15">
      <c r="A106" s="86" t="s">
        <v>24</v>
      </c>
      <c r="B106" s="105">
        <f>$H$2</f>
        <v>0</v>
      </c>
      <c r="C106" s="105">
        <f>$H$3</f>
        <v>0</v>
      </c>
      <c r="D106" s="105">
        <f>$H$4</f>
        <v>0</v>
      </c>
      <c r="E106" s="105">
        <f>$H$4</f>
        <v>0</v>
      </c>
      <c r="F106" s="105">
        <f>$H$5</f>
        <v>0</v>
      </c>
      <c r="G106" s="105">
        <f>$H$5</f>
        <v>0</v>
      </c>
      <c r="H106" s="105">
        <f>$H$5</f>
        <v>0</v>
      </c>
      <c r="I106" s="105">
        <f>$H$5</f>
        <v>0</v>
      </c>
      <c r="J106" s="105"/>
      <c r="K106" s="105"/>
      <c r="L106" s="105"/>
      <c r="M106" s="105"/>
      <c r="N106" s="68"/>
      <c r="O106" s="215">
        <v>1</v>
      </c>
      <c r="P106" s="105">
        <f>2.93%</f>
        <v>2.9300000000000003E-2</v>
      </c>
      <c r="Q106" s="104">
        <f>P106*$M$100</f>
        <v>138.22055250000003</v>
      </c>
      <c r="R106" s="104">
        <f>$Q$105+($I$9="太极")*Q106</f>
        <v>297.19777500000004</v>
      </c>
      <c r="S106" s="86">
        <f>VLOOKUP(R106,$O$114:$Q$119,3,1)</f>
        <v>1.375</v>
      </c>
      <c r="T106" s="107">
        <f>S106+$B$100</f>
        <v>1.613</v>
      </c>
      <c r="U106" s="107">
        <f>1.5-S106</f>
        <v>0.125</v>
      </c>
    </row>
    <row r="107" spans="1:21" s="58" customFormat="1" ht="9.75" hidden="1" x14ac:dyDescent="0.15">
      <c r="A107" s="86" t="s">
        <v>25</v>
      </c>
      <c r="B107" s="105">
        <f>$F$2</f>
        <v>0.04</v>
      </c>
      <c r="C107" s="106">
        <f>($D$9="白虹")*0.1+$F$3</f>
        <v>0.17</v>
      </c>
      <c r="D107" s="105">
        <f>$F$4</f>
        <v>0.04</v>
      </c>
      <c r="E107" s="105">
        <f>($G$9="无形")*0.1+$F$4</f>
        <v>0.14000000000000001</v>
      </c>
      <c r="F107" s="105">
        <f>$F$5+($D$11="万物")*0.1</f>
        <v>0.1</v>
      </c>
      <c r="G107" s="105">
        <f>$F$5+($D$11="万物")*0.1</f>
        <v>0.1</v>
      </c>
      <c r="H107" s="105">
        <f>$F$5+($D$11="万物")*0.1</f>
        <v>0.1</v>
      </c>
      <c r="I107" s="105">
        <f>$F$5+($D$11="万物")*0.1</f>
        <v>0.1</v>
      </c>
      <c r="J107" s="105"/>
      <c r="K107" s="105"/>
      <c r="L107" s="105"/>
      <c r="M107" s="105"/>
      <c r="N107" s="68"/>
      <c r="O107" s="216">
        <v>2</v>
      </c>
      <c r="P107" s="109">
        <f>5.86%</f>
        <v>5.8600000000000006E-2</v>
      </c>
      <c r="Q107" s="110">
        <f>P107*$M$100</f>
        <v>276.44110500000005</v>
      </c>
      <c r="R107" s="110">
        <f>$Q$105+($I$9="太极")*Q107</f>
        <v>435.41832750000003</v>
      </c>
      <c r="S107" s="108">
        <f>VLOOKUP(R107,$O$114:$Q$119,3,1)</f>
        <v>1.3125</v>
      </c>
      <c r="T107" s="111">
        <f>S107+$B$100</f>
        <v>1.5505</v>
      </c>
      <c r="U107" s="111">
        <f>1.5-S107</f>
        <v>0.1875</v>
      </c>
    </row>
    <row r="108" spans="1:21" s="58" customFormat="1" ht="9.75" hidden="1" x14ac:dyDescent="0.15">
      <c r="A108" s="86" t="s">
        <v>26</v>
      </c>
      <c r="B108" s="105"/>
      <c r="C108" s="105">
        <f>($D$9="白虹")*0.1</f>
        <v>0.1</v>
      </c>
      <c r="D108" s="105"/>
      <c r="E108" s="105">
        <f>($G$9="无形")*0.1</f>
        <v>0.1</v>
      </c>
      <c r="F108" s="105">
        <f>($D$11="万物")*0.1</f>
        <v>0.1</v>
      </c>
      <c r="G108" s="105">
        <f>($D$11="万物")*0.1</f>
        <v>0.1</v>
      </c>
      <c r="H108" s="105">
        <f>($D$11="万物")*0.1</f>
        <v>0.1</v>
      </c>
      <c r="I108" s="105">
        <f>($D$11="万物")*0.1</f>
        <v>0.1</v>
      </c>
      <c r="J108" s="105"/>
      <c r="K108" s="105"/>
      <c r="L108" s="105"/>
      <c r="M108" s="105"/>
      <c r="N108" s="68"/>
      <c r="O108" s="217" t="s">
        <v>151</v>
      </c>
      <c r="P108" s="113" t="s">
        <v>143</v>
      </c>
      <c r="Q108" s="113" t="s">
        <v>144</v>
      </c>
      <c r="R108" s="113" t="s">
        <v>145</v>
      </c>
      <c r="S108" s="113" t="s">
        <v>152</v>
      </c>
      <c r="T108" s="113" t="s">
        <v>216</v>
      </c>
      <c r="U108" s="118"/>
    </row>
    <row r="109" spans="1:21" s="58" customFormat="1" ht="9.75" hidden="1" x14ac:dyDescent="0.15">
      <c r="A109" s="86" t="s">
        <v>57</v>
      </c>
      <c r="B109" s="105">
        <f>$G$2+($G$9="无极")*0.5</f>
        <v>0.5</v>
      </c>
      <c r="C109" s="105">
        <f>($D$9="雾锁")*0.1+$G$3</f>
        <v>0</v>
      </c>
      <c r="D109" s="105">
        <f>($E$9="霜锋")*0.1</f>
        <v>0.1</v>
      </c>
      <c r="E109" s="105">
        <f>($E$9="霜锋")*0.1+$G$4</f>
        <v>0.19</v>
      </c>
      <c r="F109" s="105">
        <f>$G$5+$B$60*0.1</f>
        <v>0.19</v>
      </c>
      <c r="G109" s="105">
        <f>+$G$5+$B$60*0.1</f>
        <v>0.19</v>
      </c>
      <c r="H109" s="105">
        <f>+$G$5+$B$60*0.1</f>
        <v>0.19</v>
      </c>
      <c r="I109" s="105">
        <f>+$G$5+$B$60*0.1</f>
        <v>0.19</v>
      </c>
      <c r="J109" s="105"/>
      <c r="K109" s="105"/>
      <c r="L109" s="105"/>
      <c r="M109" s="105">
        <f>($E$9="霜锋")*0.1</f>
        <v>0.1</v>
      </c>
      <c r="N109" s="68"/>
      <c r="O109" s="215">
        <v>0</v>
      </c>
      <c r="P109" s="105">
        <v>0</v>
      </c>
      <c r="Q109" s="104">
        <f>B99</f>
        <v>158.97722250000001</v>
      </c>
      <c r="R109" s="104">
        <f>Q109</f>
        <v>158.97722250000001</v>
      </c>
      <c r="S109" s="86">
        <f>VLOOKUP(R105,$S$113:$U$123,3,1)</f>
        <v>2.875</v>
      </c>
      <c r="T109" s="86">
        <f>3-S109</f>
        <v>0.125</v>
      </c>
      <c r="U109" s="77"/>
    </row>
    <row r="110" spans="1:21" s="58" customFormat="1" ht="9.75" hidden="1" x14ac:dyDescent="0.15">
      <c r="A110" s="115" t="s">
        <v>224</v>
      </c>
      <c r="B110" s="115"/>
      <c r="C110" s="115"/>
      <c r="D110" s="115"/>
      <c r="E110" s="115"/>
      <c r="F110" s="105">
        <f>($D$11="万物")*5.8%</f>
        <v>5.7999999999999996E-2</v>
      </c>
      <c r="G110" s="105">
        <f>26.1890924201799%*(E11="跬步")</f>
        <v>0.26189092420179899</v>
      </c>
      <c r="H110" s="105">
        <f>55.747695602648%*($E$11="跬步")</f>
        <v>0.55747695602648006</v>
      </c>
      <c r="I110" s="105">
        <f>85.4198352989676%*($E$11="跬步")</f>
        <v>0.85419835298967595</v>
      </c>
      <c r="J110" s="115"/>
      <c r="K110" s="115"/>
      <c r="L110" s="115"/>
      <c r="M110" s="115"/>
      <c r="N110" s="68"/>
      <c r="O110" s="215">
        <v>1</v>
      </c>
      <c r="P110" s="105">
        <f>2.93%</f>
        <v>2.9300000000000003E-2</v>
      </c>
      <c r="Q110" s="104">
        <f>P110*$M$100</f>
        <v>138.22055250000003</v>
      </c>
      <c r="R110" s="104">
        <f>$Q$109+($I$9="太极")*Q110</f>
        <v>297.19777500000004</v>
      </c>
      <c r="S110" s="86">
        <f>VLOOKUP(R106,$S$113:$U$123,3,1)</f>
        <v>2.8125</v>
      </c>
      <c r="T110" s="86">
        <f t="shared" ref="T110:T111" si="2">3-S110</f>
        <v>0.1875</v>
      </c>
      <c r="U110" s="77"/>
    </row>
    <row r="111" spans="1:21" s="58" customFormat="1" ht="9.75" hidden="1" x14ac:dyDescent="0.15">
      <c r="A111" s="86" t="s">
        <v>153</v>
      </c>
      <c r="B111" s="86"/>
      <c r="C111" s="86">
        <f>$E$3</f>
        <v>-0.5</v>
      </c>
      <c r="D111" s="86"/>
      <c r="E111" s="86"/>
      <c r="F111" s="86">
        <f>($D$11="万物")*-1</f>
        <v>-1</v>
      </c>
      <c r="G111" s="86">
        <f>($D$11="万物")*-1</f>
        <v>-1</v>
      </c>
      <c r="H111" s="86">
        <f>($D$11="万物")*-1</f>
        <v>-1</v>
      </c>
      <c r="I111" s="86">
        <f>($D$11="万物")*-1</f>
        <v>-1</v>
      </c>
      <c r="J111" s="86"/>
      <c r="K111" s="86"/>
      <c r="L111" s="86"/>
      <c r="M111" s="86"/>
      <c r="N111" s="71"/>
      <c r="O111" s="216">
        <v>2</v>
      </c>
      <c r="P111" s="109">
        <f>5.86%</f>
        <v>5.8600000000000006E-2</v>
      </c>
      <c r="Q111" s="110">
        <f>P111*$M$100</f>
        <v>276.44110500000005</v>
      </c>
      <c r="R111" s="110">
        <f>$Q$109+($I$9="太极")*Q111</f>
        <v>435.41832750000003</v>
      </c>
      <c r="S111" s="108">
        <f>VLOOKUP(R107,$S$113:$U$123,3,1)</f>
        <v>2.6875</v>
      </c>
      <c r="T111" s="108">
        <f t="shared" si="2"/>
        <v>0.3125</v>
      </c>
      <c r="U111" s="116"/>
    </row>
    <row r="112" spans="1:21" s="58" customFormat="1" ht="9.75" hidden="1" x14ac:dyDescent="0.15">
      <c r="A112" s="86" t="s">
        <v>154</v>
      </c>
      <c r="B112" s="86">
        <f>1.5+B111</f>
        <v>1.5</v>
      </c>
      <c r="C112" s="86">
        <f>2+C111</f>
        <v>1.5</v>
      </c>
      <c r="D112" s="86">
        <f>1.5+D111</f>
        <v>1.5</v>
      </c>
      <c r="E112" s="86">
        <f>1.5+E111</f>
        <v>1.5</v>
      </c>
      <c r="F112" s="86">
        <f>2.5+F111</f>
        <v>1.5</v>
      </c>
      <c r="G112" s="86">
        <f t="shared" ref="G112:I112" si="3">2.5+G111</f>
        <v>1.5</v>
      </c>
      <c r="H112" s="86">
        <f t="shared" si="3"/>
        <v>1.5</v>
      </c>
      <c r="I112" s="86">
        <f t="shared" si="3"/>
        <v>1.5</v>
      </c>
      <c r="J112" s="86">
        <v>0</v>
      </c>
      <c r="K112" s="86">
        <v>0</v>
      </c>
      <c r="L112" s="86">
        <v>0</v>
      </c>
      <c r="M112" s="86">
        <v>5</v>
      </c>
      <c r="N112" s="71"/>
      <c r="O112" s="217" t="s">
        <v>156</v>
      </c>
      <c r="P112" s="113"/>
      <c r="Q112" s="113"/>
      <c r="R112" s="117"/>
      <c r="S112" s="112" t="s">
        <v>168</v>
      </c>
      <c r="T112" s="113"/>
      <c r="U112" s="113"/>
    </row>
    <row r="113" spans="1:21" s="58" customFormat="1" ht="9.75" hidden="1" x14ac:dyDescent="0.15">
      <c r="A113" s="86" t="s">
        <v>155</v>
      </c>
      <c r="B113" s="86">
        <v>0</v>
      </c>
      <c r="C113" s="86">
        <v>0</v>
      </c>
      <c r="D113" s="86">
        <v>0</v>
      </c>
      <c r="E113" s="86">
        <v>0</v>
      </c>
      <c r="F113" s="86">
        <f>($E$11="跬步")*-2</f>
        <v>-2</v>
      </c>
      <c r="G113" s="86">
        <f>($E$11="跬步")*-2</f>
        <v>-2</v>
      </c>
      <c r="H113" s="86">
        <f>($E$11="跬步")*-2</f>
        <v>-2</v>
      </c>
      <c r="I113" s="86">
        <f>($E$11="跬步")*-2</f>
        <v>-2</v>
      </c>
      <c r="J113" s="86">
        <v>0</v>
      </c>
      <c r="K113" s="86">
        <v>0</v>
      </c>
      <c r="L113" s="86">
        <v>0</v>
      </c>
      <c r="M113" s="86"/>
      <c r="N113" s="71"/>
      <c r="O113" s="215" t="s">
        <v>158</v>
      </c>
      <c r="P113" s="86" t="s">
        <v>159</v>
      </c>
      <c r="Q113" s="86" t="s">
        <v>160</v>
      </c>
      <c r="S113" s="86">
        <v>0</v>
      </c>
      <c r="T113" s="105">
        <v>0</v>
      </c>
      <c r="U113" s="86">
        <v>3</v>
      </c>
    </row>
    <row r="114" spans="1:21" s="58" customFormat="1" ht="9.75" hidden="1" x14ac:dyDescent="0.15">
      <c r="A114" s="86" t="s">
        <v>0</v>
      </c>
      <c r="B114" s="86">
        <f>($I$9="太极")*6+($G$9="无极")*6</f>
        <v>6</v>
      </c>
      <c r="C114" s="86">
        <v>0</v>
      </c>
      <c r="D114" s="86">
        <v>0</v>
      </c>
      <c r="E114" s="86">
        <v>0</v>
      </c>
      <c r="F114" s="86">
        <f>8+F113</f>
        <v>6</v>
      </c>
      <c r="G114" s="86">
        <f t="shared" ref="G114:I114" si="4">8+G113</f>
        <v>6</v>
      </c>
      <c r="H114" s="86">
        <f t="shared" si="4"/>
        <v>6</v>
      </c>
      <c r="I114" s="86">
        <f t="shared" si="4"/>
        <v>6</v>
      </c>
      <c r="J114" s="86">
        <v>15</v>
      </c>
      <c r="K114" s="86">
        <v>0</v>
      </c>
      <c r="L114" s="86">
        <v>20</v>
      </c>
      <c r="M114" s="86">
        <v>0</v>
      </c>
      <c r="N114" s="71"/>
      <c r="O114" s="215">
        <v>0</v>
      </c>
      <c r="P114" s="105">
        <v>0</v>
      </c>
      <c r="Q114" s="86">
        <v>1.5</v>
      </c>
      <c r="S114" s="86">
        <v>5</v>
      </c>
      <c r="T114" s="105">
        <v>1.1000000000000001E-3</v>
      </c>
      <c r="U114" s="86">
        <v>2.9375</v>
      </c>
    </row>
    <row r="115" spans="1:21" s="58" customFormat="1" ht="9.75" hidden="1" x14ac:dyDescent="0.15">
      <c r="A115" s="86" t="s">
        <v>157</v>
      </c>
      <c r="B115" s="86">
        <f>0.5+(I9="太极")*0.5</f>
        <v>1</v>
      </c>
      <c r="C115" s="86">
        <f>($E$9="心固")*MIN(($B$95+$C$107),1)+1</f>
        <v>1</v>
      </c>
      <c r="D115" s="142">
        <f>$I$4*2+MIN(($B$95+$D$107),1)</f>
        <v>1.4343999999999999</v>
      </c>
      <c r="E115" s="142">
        <f>$I$4*2+MIN(($B$95+$D$107),1)</f>
        <v>1.4343999999999999</v>
      </c>
      <c r="F115" s="86"/>
      <c r="G115" s="86"/>
      <c r="H115" s="86"/>
      <c r="I115" s="86"/>
      <c r="J115" s="86"/>
      <c r="K115" s="86"/>
      <c r="L115" s="86"/>
      <c r="M115" s="86"/>
      <c r="N115" s="71"/>
      <c r="O115" s="215">
        <v>5</v>
      </c>
      <c r="P115" s="105">
        <v>1.1000000000000001E-3</v>
      </c>
      <c r="Q115" s="86">
        <v>1.4375</v>
      </c>
      <c r="S115" s="86">
        <v>102</v>
      </c>
      <c r="T115" s="105">
        <v>2.1600000000000001E-2</v>
      </c>
      <c r="U115" s="86">
        <v>2.875</v>
      </c>
    </row>
    <row r="116" spans="1:21" s="58" customFormat="1" ht="9.75" hidden="1" x14ac:dyDescent="0.15">
      <c r="A116" s="86" t="s">
        <v>161</v>
      </c>
      <c r="B116" s="86"/>
      <c r="C116" s="86"/>
      <c r="D116" s="86">
        <v>5</v>
      </c>
      <c r="E116" s="86">
        <v>5</v>
      </c>
      <c r="F116" s="86">
        <f>5-($D$11="万物")*2</f>
        <v>3</v>
      </c>
      <c r="G116" s="86">
        <f t="shared" ref="G116:H116" si="5">5-($D$11="万物")*2</f>
        <v>3</v>
      </c>
      <c r="H116" s="86">
        <f t="shared" si="5"/>
        <v>3</v>
      </c>
      <c r="I116" s="86">
        <f>5-($D$11="万物")*2</f>
        <v>3</v>
      </c>
      <c r="J116" s="86"/>
      <c r="K116" s="86"/>
      <c r="L116" s="86"/>
      <c r="M116" s="86"/>
      <c r="N116" s="68"/>
      <c r="O116" s="215">
        <v>208</v>
      </c>
      <c r="P116" s="105">
        <v>4.41E-2</v>
      </c>
      <c r="Q116" s="86">
        <v>1.375</v>
      </c>
      <c r="S116" s="86">
        <v>208</v>
      </c>
      <c r="T116" s="105">
        <v>4.41E-2</v>
      </c>
      <c r="U116" s="86">
        <v>2.8125</v>
      </c>
    </row>
    <row r="117" spans="1:21" s="58" customFormat="1" ht="9.75" hidden="1" x14ac:dyDescent="0.15">
      <c r="M117" s="68"/>
      <c r="N117" s="68"/>
      <c r="O117" s="215">
        <v>434</v>
      </c>
      <c r="P117" s="105">
        <v>9.1999999999999998E-2</v>
      </c>
      <c r="Q117" s="86">
        <v>1.3125</v>
      </c>
      <c r="S117" s="86">
        <v>318</v>
      </c>
      <c r="T117" s="105">
        <v>6.7400000000000002E-2</v>
      </c>
      <c r="U117" s="86">
        <v>2.75</v>
      </c>
    </row>
    <row r="118" spans="1:21" s="58" customFormat="1" ht="9.75" hidden="1" x14ac:dyDescent="0.15">
      <c r="A118" s="95" t="s">
        <v>232</v>
      </c>
      <c r="B118" s="86" t="s">
        <v>162</v>
      </c>
      <c r="C118" s="86" t="s">
        <v>123</v>
      </c>
      <c r="D118" s="86" t="s">
        <v>163</v>
      </c>
      <c r="E118" s="86" t="s">
        <v>164</v>
      </c>
      <c r="F118" s="86" t="s">
        <v>236</v>
      </c>
      <c r="G118" s="86" t="s">
        <v>235</v>
      </c>
      <c r="H118" s="86" t="s">
        <v>234</v>
      </c>
      <c r="I118" s="86" t="s">
        <v>233</v>
      </c>
      <c r="N118" s="68"/>
      <c r="O118" s="215">
        <v>678</v>
      </c>
      <c r="P118" s="105">
        <v>0.14369999999999999</v>
      </c>
      <c r="Q118" s="86">
        <v>1.25</v>
      </c>
      <c r="S118" s="86">
        <v>434</v>
      </c>
      <c r="T118" s="105">
        <v>9.1999999999999998E-2</v>
      </c>
      <c r="U118" s="86">
        <v>2.6875</v>
      </c>
    </row>
    <row r="119" spans="1:21" s="58" customFormat="1" ht="9.75" hidden="1" x14ac:dyDescent="0.15">
      <c r="A119" s="86" t="s">
        <v>165</v>
      </c>
      <c r="B119" s="86">
        <v>96</v>
      </c>
      <c r="C119" s="105">
        <v>1.0249999999999999</v>
      </c>
      <c r="D119" s="105">
        <v>0.15</v>
      </c>
      <c r="E119" s="238">
        <v>361</v>
      </c>
      <c r="F119" s="105">
        <f>E119/(E119+2.382*85*(B119-85.88))</f>
        <v>0.14979275487714416</v>
      </c>
      <c r="G119" s="105">
        <f t="shared" ref="G119:G125" si="6">MAX(C119-MAX($B$94,0.9),0)</f>
        <v>0</v>
      </c>
      <c r="H119" s="105">
        <f t="shared" ref="H119:H125" si="7">MAX(D119-MAX($B$98,0),0)</f>
        <v>0</v>
      </c>
      <c r="I119" s="142">
        <f t="shared" ref="I119:I125" si="8">MIN((1-F119)*(1+$B$97/$M$99),1.75)</f>
        <v>1.20186232193639</v>
      </c>
      <c r="N119" s="68"/>
      <c r="O119" s="215">
        <v>945</v>
      </c>
      <c r="P119" s="105">
        <v>0.20030000000000001</v>
      </c>
      <c r="Q119" s="86">
        <v>1.1875</v>
      </c>
      <c r="S119" s="86">
        <v>553</v>
      </c>
      <c r="T119" s="105">
        <v>0.1172</v>
      </c>
      <c r="U119" s="86">
        <v>2.625</v>
      </c>
    </row>
    <row r="120" spans="1:21" s="58" customFormat="1" ht="9.75" hidden="1" x14ac:dyDescent="0.15">
      <c r="A120" s="86" t="s">
        <v>166</v>
      </c>
      <c r="B120" s="86">
        <v>97</v>
      </c>
      <c r="C120" s="105">
        <v>1.05</v>
      </c>
      <c r="D120" s="105">
        <v>0.2</v>
      </c>
      <c r="E120" s="238">
        <v>750</v>
      </c>
      <c r="F120" s="105">
        <f t="shared" ref="F120:F125" si="9">E120/(E120+2.382*85*(B120-85.88))</f>
        <v>0.24987785970217752</v>
      </c>
      <c r="G120" s="105">
        <f t="shared" si="6"/>
        <v>0</v>
      </c>
      <c r="H120" s="105">
        <f t="shared" si="7"/>
        <v>0</v>
      </c>
      <c r="I120" s="142">
        <f t="shared" si="8"/>
        <v>1.0603809158835873</v>
      </c>
      <c r="N120" s="68"/>
      <c r="O120" s="212"/>
      <c r="S120" s="86">
        <v>678</v>
      </c>
      <c r="T120" s="105">
        <v>0.14369999999999999</v>
      </c>
      <c r="U120" s="86">
        <v>2.56</v>
      </c>
    </row>
    <row r="121" spans="1:21" s="58" customFormat="1" ht="9.75" hidden="1" x14ac:dyDescent="0.15">
      <c r="A121" s="86" t="s">
        <v>167</v>
      </c>
      <c r="B121" s="86">
        <v>98</v>
      </c>
      <c r="C121" s="105">
        <v>1.1000000000000001</v>
      </c>
      <c r="D121" s="105">
        <v>0.25</v>
      </c>
      <c r="E121" s="238">
        <v>1321</v>
      </c>
      <c r="F121" s="105">
        <f t="shared" si="9"/>
        <v>0.34993967050676661</v>
      </c>
      <c r="G121" s="105">
        <f t="shared" si="6"/>
        <v>2.100000000000013E-2</v>
      </c>
      <c r="H121" s="105">
        <f t="shared" si="7"/>
        <v>0</v>
      </c>
      <c r="I121" s="142">
        <f t="shared" si="8"/>
        <v>0.91893243851453665</v>
      </c>
      <c r="J121" s="103"/>
      <c r="K121" s="102"/>
      <c r="L121" s="68"/>
      <c r="N121" s="68"/>
      <c r="O121" s="212"/>
      <c r="P121" s="269"/>
      <c r="S121" s="86">
        <v>807</v>
      </c>
      <c r="T121" s="105">
        <v>0.1711</v>
      </c>
      <c r="U121" s="86">
        <v>2.5</v>
      </c>
    </row>
    <row r="122" spans="1:21" s="58" customFormat="1" ht="9.75" hidden="1" x14ac:dyDescent="0.15">
      <c r="A122" s="86" t="s">
        <v>299</v>
      </c>
      <c r="B122" s="86">
        <v>97</v>
      </c>
      <c r="C122" s="105">
        <v>1.1000000000000001</v>
      </c>
      <c r="D122" s="105">
        <v>0.45</v>
      </c>
      <c r="E122" s="238">
        <v>2450</v>
      </c>
      <c r="F122" s="105">
        <f t="shared" si="9"/>
        <v>0.52111400817413034</v>
      </c>
      <c r="G122" s="105">
        <f t="shared" si="6"/>
        <v>2.100000000000013E-2</v>
      </c>
      <c r="H122" s="105">
        <f t="shared" si="7"/>
        <v>0.12609999999999999</v>
      </c>
      <c r="I122" s="142">
        <f t="shared" si="8"/>
        <v>0.67695851026943732</v>
      </c>
      <c r="J122" s="68"/>
      <c r="K122" s="68"/>
      <c r="L122" s="68"/>
      <c r="N122" s="68"/>
      <c r="O122" s="212"/>
      <c r="S122" s="86">
        <v>945</v>
      </c>
      <c r="T122" s="105">
        <v>0.20030000000000001</v>
      </c>
      <c r="U122" s="86">
        <v>2.4375</v>
      </c>
    </row>
    <row r="123" spans="1:21" s="58" customFormat="1" ht="9.75" hidden="1" x14ac:dyDescent="0.15">
      <c r="A123" s="86" t="s">
        <v>301</v>
      </c>
      <c r="B123" s="86">
        <f t="shared" ref="B123:E125" si="10">Q16</f>
        <v>98</v>
      </c>
      <c r="C123" s="105">
        <f t="shared" si="10"/>
        <v>1.1000000000000001</v>
      </c>
      <c r="D123" s="105">
        <f t="shared" si="10"/>
        <v>0.4</v>
      </c>
      <c r="E123" s="238">
        <f t="shared" si="10"/>
        <v>1450</v>
      </c>
      <c r="F123" s="105">
        <f t="shared" si="9"/>
        <v>0.37141998522311981</v>
      </c>
      <c r="G123" s="105">
        <f t="shared" si="6"/>
        <v>2.100000000000013E-2</v>
      </c>
      <c r="H123" s="105">
        <f t="shared" si="7"/>
        <v>7.6100000000000001E-2</v>
      </c>
      <c r="I123" s="142">
        <f t="shared" si="8"/>
        <v>0.88856762914715681</v>
      </c>
      <c r="N123" s="68"/>
      <c r="O123" s="212"/>
      <c r="S123" s="86">
        <v>1092</v>
      </c>
      <c r="T123" s="105">
        <v>0.23150000000000001</v>
      </c>
      <c r="U123" s="86">
        <v>2.375</v>
      </c>
    </row>
    <row r="124" spans="1:21" s="58" customFormat="1" ht="9.75" hidden="1" x14ac:dyDescent="0.15">
      <c r="A124" s="86" t="s">
        <v>303</v>
      </c>
      <c r="B124" s="86">
        <f t="shared" si="10"/>
        <v>98</v>
      </c>
      <c r="C124" s="105">
        <f t="shared" si="10"/>
        <v>1.1000000000000001</v>
      </c>
      <c r="D124" s="105">
        <f t="shared" si="10"/>
        <v>0.4</v>
      </c>
      <c r="E124" s="238">
        <f t="shared" si="10"/>
        <v>1450</v>
      </c>
      <c r="F124" s="105">
        <f t="shared" si="9"/>
        <v>0.37141998522311981</v>
      </c>
      <c r="G124" s="105">
        <f t="shared" si="6"/>
        <v>2.100000000000013E-2</v>
      </c>
      <c r="H124" s="105">
        <f t="shared" si="7"/>
        <v>7.6100000000000001E-2</v>
      </c>
      <c r="I124" s="142">
        <f t="shared" si="8"/>
        <v>0.88856762914715681</v>
      </c>
      <c r="J124" s="103"/>
      <c r="K124" s="103"/>
      <c r="L124" s="73"/>
      <c r="M124" s="68"/>
      <c r="N124" s="68"/>
      <c r="O124" s="212"/>
    </row>
    <row r="125" spans="1:21" s="58" customFormat="1" ht="9.75" hidden="1" x14ac:dyDescent="0.15">
      <c r="A125" s="86" t="s">
        <v>305</v>
      </c>
      <c r="B125" s="86">
        <f t="shared" si="10"/>
        <v>98</v>
      </c>
      <c r="C125" s="105">
        <f t="shared" si="10"/>
        <v>1.1000000000000001</v>
      </c>
      <c r="D125" s="105">
        <f t="shared" si="10"/>
        <v>0.4</v>
      </c>
      <c r="E125" s="238">
        <f t="shared" si="10"/>
        <v>1450</v>
      </c>
      <c r="F125" s="105">
        <f t="shared" si="9"/>
        <v>0.37141998522311981</v>
      </c>
      <c r="G125" s="105">
        <f t="shared" si="6"/>
        <v>2.100000000000013E-2</v>
      </c>
      <c r="H125" s="105">
        <f t="shared" si="7"/>
        <v>7.6100000000000001E-2</v>
      </c>
      <c r="I125" s="142">
        <f t="shared" si="8"/>
        <v>0.88856762914715681</v>
      </c>
      <c r="L125" s="68"/>
      <c r="M125" s="68"/>
      <c r="N125" s="68"/>
      <c r="O125" s="212"/>
    </row>
    <row r="126" spans="1:21" s="58" customFormat="1" ht="9.75" hidden="1" x14ac:dyDescent="0.15">
      <c r="M126" s="68"/>
      <c r="N126" s="68"/>
      <c r="O126" s="212"/>
    </row>
    <row r="127" spans="1:21" s="58" customFormat="1" ht="9.75" hidden="1" x14ac:dyDescent="0.15">
      <c r="A127" s="95" t="s">
        <v>169</v>
      </c>
      <c r="B127" s="86" t="s">
        <v>170</v>
      </c>
      <c r="C127" s="86" t="s">
        <v>59</v>
      </c>
      <c r="D127" s="86" t="s">
        <v>136</v>
      </c>
      <c r="E127" s="86" t="s">
        <v>49</v>
      </c>
      <c r="F127" s="86" t="s">
        <v>10</v>
      </c>
      <c r="G127" s="119" t="s">
        <v>138</v>
      </c>
      <c r="H127" s="119" t="s">
        <v>98</v>
      </c>
      <c r="I127" s="119" t="s">
        <v>99</v>
      </c>
      <c r="J127" s="86" t="s">
        <v>139</v>
      </c>
      <c r="K127" s="119" t="s">
        <v>17</v>
      </c>
      <c r="L127" s="86" t="s">
        <v>140</v>
      </c>
      <c r="M127" s="86" t="s">
        <v>141</v>
      </c>
      <c r="N127" s="93" t="s">
        <v>171</v>
      </c>
      <c r="O127" s="218" t="s">
        <v>268</v>
      </c>
      <c r="P127" s="86" t="s">
        <v>260</v>
      </c>
      <c r="Q127" s="86" t="s">
        <v>262</v>
      </c>
      <c r="R127" s="86" t="s">
        <v>261</v>
      </c>
    </row>
    <row r="128" spans="1:21" s="58" customFormat="1" ht="9.75" hidden="1" x14ac:dyDescent="0.15">
      <c r="A128" s="86" t="s">
        <v>172</v>
      </c>
      <c r="B128" s="242">
        <f t="shared" ref="B128:B133" si="11">(($B$93*B$105+B$104)*(1+B$109)*$I119)*((MIN((1-MAX($C119-MAX($B$94+B$106,0.92),0)-$H119),$B$95+B$107))*(MIN($B$96+B$108,3)-1)+($H119*0.25)+(1-MAX($C119-MAX($B$94+B$106,0.92),0)-$H119))*(1+$Q$81)</f>
        <v>7476.9467754380548</v>
      </c>
      <c r="C128" s="242">
        <f t="shared" ref="C128:E128" si="12">(($B$93*C$105+C$104)*(1+C$109)*$I119)*((MIN((1-MAX($C119-MAX($B$94+C$106,0.92),0)-$H119),$B$95+C$107))*(MIN($B$96+C$108,3)-1)+($H119*0.25)+(1-MAX($C119-MAX($B$94+C$106,0.92),0)-$H119))*(1+$Q$81)</f>
        <v>12758.339699924558</v>
      </c>
      <c r="D128" s="242">
        <f t="shared" si="12"/>
        <v>1511.5092696626057</v>
      </c>
      <c r="E128" s="242">
        <f t="shared" si="12"/>
        <v>18503.038765836667</v>
      </c>
      <c r="F128" s="242">
        <f>(($B$93*F$105+F$104)*(1+F$109)*$I119)*((MIN((1-MAX($C119-MAX($B$94+F$106,0.92),0)-$H119),$B$95+F$107))*(MIN($B$96+F$108,3)-1)+($H119*0.25)+(1-MAX($C119-MAX($B$94+F$106,0.92),0)-$H119))*(1+$Q$81+$F$110)</f>
        <v>20746.464910173556</v>
      </c>
      <c r="G128" s="242">
        <f>(($B$93*G$105+G$104)*(1+G$109)*$I119)*((MIN((1-MAX($C119-MAX($B$94+G$106,0.92),0)-$H119),$B$95+G$107))*(MIN($B$96+G$108,3)-1)+($H119*0.25)+(1-MAX($C119-MAX($B$94+G$106,0.92),0)-$H119))*(1+$Q$81+$F$110+G$110)</f>
        <v>25881.919417967074</v>
      </c>
      <c r="H128" s="242">
        <f t="shared" ref="H128:I128" si="13">(($B$93*H$105+H$104)*(1+H$109)*$I119)*((MIN((1-MAX($C119-MAX($B$94+H$106,0.92),0)-$H119),$B$95+H$107))*(MIN($B$96+H$108,3)-1)+($H119*0.25)+(1-MAX($C119-MAX($B$94+H$106,0.92),0)-$H119))*(1+$Q$81+$F$110+H$110)</f>
        <v>31678.105842530582</v>
      </c>
      <c r="I128" s="242">
        <f t="shared" si="13"/>
        <v>37496.555795455555</v>
      </c>
      <c r="J128" s="242">
        <f>(($B$93*J$105+J$104)*(1+J$109)*$I119)*((MIN((1-MAX($C119-MAX($B$94+J$106,0.92),0)-$H119),$B$95+J$107))*(MIN($B$96+J$108,3)-1)+($H119*0.25)+(1-MAX($C119-MAX($B$94+J$106,0.92),0)-$H119))*(1+$Q$81)*($I$11="剑出鸿蒙")</f>
        <v>4435.5246303148342</v>
      </c>
      <c r="K128" s="244">
        <f>(($B$93*K$105+K$104)*(1+K$109)*$I119)*((MIN((1-$H119),$B$95+K$107))*(MIN($B$96+K$108,3)-1)+($H119*0.25)+(1-$H119))*(1+$Q$81)*($F$11="气竭")</f>
        <v>3166.7426637888316</v>
      </c>
      <c r="L128" s="242">
        <f>(($B$93*L$105+L$104)*(1+L$109)*$I119)*((MIN((1-$H119),$B$95+L$107))*(MIN($B$96+L$108,3)-1)+($H119*0.25)+(1-$H119))*(1+$Q$81)</f>
        <v>1002.5618514311052</v>
      </c>
      <c r="M128" s="242">
        <f>(($B$93*M$105+M$104)*(1+M$109)*$I119)*((MIN((1-$H119),$B$95+M$107))*(MIN($B$96+M$108,3)-1)+($H119*0.25)+(1-$H119))*(1+$Q$81)</f>
        <v>5210.6726274982439</v>
      </c>
      <c r="N128" s="245">
        <v>0</v>
      </c>
      <c r="O128" s="215" t="s">
        <v>265</v>
      </c>
      <c r="P128" s="86">
        <v>0</v>
      </c>
      <c r="Q128" s="86">
        <v>1</v>
      </c>
      <c r="R128" s="86">
        <v>3</v>
      </c>
    </row>
    <row r="129" spans="1:27" s="58" customFormat="1" ht="9.75" hidden="1" x14ac:dyDescent="0.15">
      <c r="A129" s="86" t="s">
        <v>173</v>
      </c>
      <c r="B129" s="242">
        <f t="shared" si="11"/>
        <v>6596.7719638451726</v>
      </c>
      <c r="C129" s="242">
        <f t="shared" ref="C129:E129" si="14">(($B$93*C$105+C$104)*(1+C$109)*$I120)*((MIN((1-MAX($C120-MAX($B$94+C$106,0.92),0)-$H120),$B$95+C$107))*(MIN($B$96+C$108,3)-1)+($H120*0.25)+(1-MAX($C120-MAX($B$94+C$106,0.92),0)-$H120))*(1+$Q$81)</f>
        <v>11256.447339461531</v>
      </c>
      <c r="D129" s="242">
        <f t="shared" si="14"/>
        <v>1333.5766954979015</v>
      </c>
      <c r="E129" s="242">
        <f t="shared" si="14"/>
        <v>16324.889161627143</v>
      </c>
      <c r="F129" s="242">
        <f t="shared" ref="F129:F134" si="15">(($B$93*F$105+F$104)*(1+F$109)*$I120)*((MIN((1-MAX($C120-MAX($B$94+F$106,0.92),0)-$H120),$B$95+F$107))*(MIN($B$96+F$108,3)-1)+($H120*0.25)+(1-MAX($C120-MAX($B$94+F$106,0.92),0)-$H120))*(1+$Q$81+$F$110)</f>
        <v>18304.222589616111</v>
      </c>
      <c r="G129" s="242">
        <f t="shared" ref="G129:I134" si="16">(($B$93*G$105+G$104)*(1+G$109)*$I120)*((MIN((1-MAX($C120-MAX($B$94+G$106,0.92),0)-$H120),$B$95+G$107))*(MIN($B$96+G$108,3)-1)+($H120*0.25)+(1-MAX($C120-MAX($B$94+G$106,0.92),0)-$H120))*(1+$Q$81+$F$110+G$110)</f>
        <v>22835.139197168104</v>
      </c>
      <c r="H129" s="242">
        <f t="shared" si="16"/>
        <v>27949.007364370671</v>
      </c>
      <c r="I129" s="242">
        <f t="shared" si="16"/>
        <v>33082.518231210161</v>
      </c>
      <c r="J129" s="242">
        <f t="shared" ref="J129:J134" si="17">(($B$93*J$105+J$104)*(1+J$109)*$I120)*((MIN((1-MAX($C120-MAX($B$94+J$106,0.92),0)-$H120),$B$95+J$107))*(MIN($B$96+J$108,3)-1)+($H120*0.25)+(1-MAX($C120-MAX($B$94+J$106,0.92),0)-$H120))*(1+$Q$81)*($I$11="剑出鸿蒙")</f>
        <v>3913.3814115577079</v>
      </c>
      <c r="K129" s="244">
        <f t="shared" ref="K129:K134" si="18">(($B$93*K$105+K$104)*(1+K$109)*$I120)*((MIN((1-$H120),$B$95+K$107))*(MIN($B$96+K$108,3)-1)+($H120*0.25)+(1-$H120))*(1+$Q$81)*($F$11="气竭")</f>
        <v>2793.9585299469568</v>
      </c>
      <c r="L129" s="242">
        <f t="shared" ref="L129:M134" si="19">(($B$93*L$105+L$104)*(1+L$109)*$I120)*((MIN((1-$H120),$B$95+L$107))*(MIN($B$96+L$108,3)-1)+($H120*0.25)+(1-$H120))*(1+$Q$81)</f>
        <v>884.54179388670957</v>
      </c>
      <c r="M129" s="242">
        <f t="shared" si="19"/>
        <v>4597.2801645150157</v>
      </c>
      <c r="N129" s="245">
        <v>0</v>
      </c>
      <c r="O129" s="215" t="s">
        <v>259</v>
      </c>
      <c r="P129" s="86">
        <v>1</v>
      </c>
      <c r="Q129" s="86">
        <v>2</v>
      </c>
      <c r="R129" s="86">
        <v>4</v>
      </c>
      <c r="T129" s="68"/>
    </row>
    <row r="130" spans="1:27" s="58" customFormat="1" ht="9.75" hidden="1" x14ac:dyDescent="0.15">
      <c r="A130" s="86" t="s">
        <v>174</v>
      </c>
      <c r="B130" s="242">
        <f t="shared" si="11"/>
        <v>5643.3481350732736</v>
      </c>
      <c r="C130" s="242">
        <f t="shared" ref="C130:E130" si="20">(($B$93*C$105+C$104)*(1+C$109)*$I121)*((MIN((1-MAX($C121-MAX($B$94+C$106,0.92),0)-$H121),$B$95+C$107))*(MIN($B$96+C$108,3)-1)+($H121*0.25)+(1-MAX($C121-MAX($B$94+C$106,0.92),0)-$H121))*(1+$Q$81)</f>
        <v>9645.9801371494123</v>
      </c>
      <c r="D130" s="242">
        <f t="shared" si="20"/>
        <v>1140.836396765267</v>
      </c>
      <c r="E130" s="242">
        <f t="shared" si="20"/>
        <v>13985.244334616073</v>
      </c>
      <c r="F130" s="242">
        <f t="shared" si="15"/>
        <v>15674.504248694531</v>
      </c>
      <c r="G130" s="242">
        <f t="shared" si="16"/>
        <v>19554.476275249956</v>
      </c>
      <c r="H130" s="242">
        <f t="shared" si="16"/>
        <v>23933.648781573887</v>
      </c>
      <c r="I130" s="242">
        <f t="shared" si="16"/>
        <v>28329.641973802798</v>
      </c>
      <c r="J130" s="242">
        <f t="shared" si="17"/>
        <v>3346.1697566541616</v>
      </c>
      <c r="K130" s="244">
        <f t="shared" si="18"/>
        <v>2421.2611586782959</v>
      </c>
      <c r="L130" s="242">
        <f t="shared" si="19"/>
        <v>766.54920458184927</v>
      </c>
      <c r="M130" s="242">
        <f t="shared" si="19"/>
        <v>3984.0304637999402</v>
      </c>
      <c r="N130" s="245">
        <v>0</v>
      </c>
      <c r="O130" s="215" t="s">
        <v>264</v>
      </c>
      <c r="P130" s="86">
        <v>1</v>
      </c>
      <c r="Q130" s="86">
        <v>1</v>
      </c>
      <c r="R130" s="86">
        <v>0</v>
      </c>
    </row>
    <row r="131" spans="1:27" s="58" customFormat="1" ht="9.75" hidden="1" x14ac:dyDescent="0.15">
      <c r="A131" s="86" t="s">
        <v>298</v>
      </c>
      <c r="B131" s="242">
        <f t="shared" si="11"/>
        <v>3913.6407661069184</v>
      </c>
      <c r="C131" s="242">
        <f t="shared" ref="C131:E131" si="21">(($B$93*C$105+C$104)*(1+C$109)*$I122)*((MIN((1-MAX($C122-MAX($B$94+C$106,0.92),0)-$H122),$B$95+C$107))*(MIN($B$96+C$108,3)-1)+($H122*0.25)+(1-MAX($C122-MAX($B$94+C$106,0.92),0)-$H122))*(1+$Q$81)</f>
        <v>6744.6167990820659</v>
      </c>
      <c r="D131" s="242">
        <f t="shared" si="21"/>
        <v>791.16576241155531</v>
      </c>
      <c r="E131" s="242">
        <f t="shared" si="21"/>
        <v>9765.1674441921787</v>
      </c>
      <c r="F131" s="242">
        <f t="shared" si="15"/>
        <v>10923.210163594946</v>
      </c>
      <c r="G131" s="242">
        <f t="shared" si="16"/>
        <v>13627.075574742739</v>
      </c>
      <c r="H131" s="242">
        <f t="shared" si="16"/>
        <v>16678.822594633151</v>
      </c>
      <c r="I131" s="242">
        <f t="shared" si="16"/>
        <v>19742.291572954957</v>
      </c>
      <c r="J131" s="242">
        <f t="shared" si="17"/>
        <v>2315.1278261344983</v>
      </c>
      <c r="K131" s="244">
        <f t="shared" si="18"/>
        <v>1676.6531930367726</v>
      </c>
      <c r="L131" s="242">
        <f t="shared" si="19"/>
        <v>530.81311236311819</v>
      </c>
      <c r="M131" s="242">
        <f t="shared" si="19"/>
        <v>2758.8256534591651</v>
      </c>
      <c r="N131" s="245">
        <v>0</v>
      </c>
      <c r="O131" s="215" t="s">
        <v>263</v>
      </c>
      <c r="P131" s="86">
        <v>1</v>
      </c>
      <c r="Q131" s="86">
        <v>2</v>
      </c>
      <c r="R131" s="86">
        <v>0</v>
      </c>
    </row>
    <row r="132" spans="1:27" s="58" customFormat="1" ht="9.75" hidden="1" x14ac:dyDescent="0.15">
      <c r="A132" s="86" t="s">
        <v>301</v>
      </c>
      <c r="B132" s="242">
        <f t="shared" si="11"/>
        <v>5263.8313555587883</v>
      </c>
      <c r="C132" s="242">
        <f t="shared" ref="C132:E132" si="22">(($B$93*C$105+C$104)*(1+C$109)*$I123)*((MIN((1-MAX($C123-MAX($B$94+C$106,0.92),0)-$H123),$B$95+C$107))*(MIN($B$96+C$108,3)-1)+($H123*0.25)+(1-MAX($C123-MAX($B$94+C$106,0.92),0)-$H123))*(1+$Q$81)</f>
        <v>9040.9838104482005</v>
      </c>
      <c r="D132" s="242">
        <f t="shared" si="22"/>
        <v>1064.1148221095432</v>
      </c>
      <c r="E132" s="242">
        <f t="shared" si="22"/>
        <v>13097.372207480172</v>
      </c>
      <c r="F132" s="242">
        <f t="shared" si="15"/>
        <v>14662.37258669664</v>
      </c>
      <c r="G132" s="242">
        <f t="shared" si="16"/>
        <v>18291.807660157043</v>
      </c>
      <c r="H132" s="242">
        <f t="shared" si="16"/>
        <v>22388.208917280524</v>
      </c>
      <c r="I132" s="242">
        <f t="shared" si="16"/>
        <v>26500.344717582502</v>
      </c>
      <c r="J132" s="242">
        <f t="shared" si="17"/>
        <v>3116.8389071594333</v>
      </c>
      <c r="K132" s="244">
        <f t="shared" si="18"/>
        <v>2256.4643092354108</v>
      </c>
      <c r="L132" s="242">
        <f t="shared" si="19"/>
        <v>714.37602474733865</v>
      </c>
      <c r="M132" s="242">
        <f t="shared" si="19"/>
        <v>3712.8677822505028</v>
      </c>
      <c r="N132" s="245">
        <v>0</v>
      </c>
      <c r="O132" s="215" t="s">
        <v>266</v>
      </c>
      <c r="P132" s="86">
        <v>0.5</v>
      </c>
      <c r="Q132" s="86">
        <v>0.5</v>
      </c>
      <c r="R132" s="86">
        <v>0</v>
      </c>
    </row>
    <row r="133" spans="1:27" s="58" customFormat="1" ht="9.75" hidden="1" x14ac:dyDescent="0.15">
      <c r="A133" s="86" t="s">
        <v>303</v>
      </c>
      <c r="B133" s="242">
        <f t="shared" si="11"/>
        <v>5263.8313555587883</v>
      </c>
      <c r="C133" s="242">
        <f t="shared" ref="C133:E133" si="23">(($B$93*C$105+C$104)*(1+C$109)*$I124)*((MIN((1-MAX($C124-MAX($B$94+C$106,0.92),0)-$H124),$B$95+C$107))*(MIN($B$96+C$108,3)-1)+($H124*0.25)+(1-MAX($C124-MAX($B$94+C$106,0.92),0)-$H124))*(1+$Q$81)</f>
        <v>9040.9838104482005</v>
      </c>
      <c r="D133" s="242">
        <f t="shared" si="23"/>
        <v>1064.1148221095432</v>
      </c>
      <c r="E133" s="242">
        <f t="shared" si="23"/>
        <v>13097.372207480172</v>
      </c>
      <c r="F133" s="242">
        <f t="shared" si="15"/>
        <v>14662.37258669664</v>
      </c>
      <c r="G133" s="242">
        <f t="shared" si="16"/>
        <v>18291.807660157043</v>
      </c>
      <c r="H133" s="242">
        <f t="shared" si="16"/>
        <v>22388.208917280524</v>
      </c>
      <c r="I133" s="242">
        <f t="shared" si="16"/>
        <v>26500.344717582502</v>
      </c>
      <c r="J133" s="242">
        <f t="shared" si="17"/>
        <v>3116.8389071594333</v>
      </c>
      <c r="K133" s="244">
        <f t="shared" si="18"/>
        <v>2256.4643092354108</v>
      </c>
      <c r="L133" s="242">
        <f t="shared" si="19"/>
        <v>714.37602474733865</v>
      </c>
      <c r="M133" s="242">
        <f t="shared" si="19"/>
        <v>3712.8677822505028</v>
      </c>
      <c r="N133" s="245">
        <v>0</v>
      </c>
      <c r="O133" s="215" t="s">
        <v>267</v>
      </c>
      <c r="P133" s="86">
        <v>1</v>
      </c>
      <c r="Q133" s="86">
        <v>1</v>
      </c>
      <c r="R133" s="86">
        <v>0</v>
      </c>
    </row>
    <row r="134" spans="1:27" s="58" customFormat="1" ht="9.75" hidden="1" x14ac:dyDescent="0.15">
      <c r="A134" s="86" t="s">
        <v>305</v>
      </c>
      <c r="B134" s="242">
        <f>(($B$93*B$105+B$104)*(1+B$109)*$I125)*((MIN((1-MAX($C125-MAX($B$94+B$106,0.92),0)-$H125),$B$95+B$107))*(MIN($B$96+B$108,3)-1)+($H125*0.25)+(1-MAX($C125-MAX($B$94+B$106,0.92),0)-$H125))*(1+$Q$81)</f>
        <v>5263.8313555587883</v>
      </c>
      <c r="C134" s="242">
        <f t="shared" ref="C134:E134" si="24">(($B$93*C$105+C$104)*(1+C$109)*$I125)*((MIN((1-MAX($C125-MAX($B$94+C$106,0.92),0)-$H125),$B$95+C$107))*(MIN($B$96+C$108,3)-1)+($H125*0.25)+(1-MAX($C125-MAX($B$94+C$106,0.92),0)-$H125))*(1+$Q$81)</f>
        <v>9040.9838104482005</v>
      </c>
      <c r="D134" s="242">
        <f t="shared" si="24"/>
        <v>1064.1148221095432</v>
      </c>
      <c r="E134" s="242">
        <f t="shared" si="24"/>
        <v>13097.372207480172</v>
      </c>
      <c r="F134" s="242">
        <f t="shared" si="15"/>
        <v>14662.37258669664</v>
      </c>
      <c r="G134" s="242">
        <f t="shared" si="16"/>
        <v>18291.807660157043</v>
      </c>
      <c r="H134" s="242">
        <f t="shared" si="16"/>
        <v>22388.208917280524</v>
      </c>
      <c r="I134" s="242">
        <f t="shared" si="16"/>
        <v>26500.344717582502</v>
      </c>
      <c r="J134" s="242">
        <f t="shared" si="17"/>
        <v>3116.8389071594333</v>
      </c>
      <c r="K134" s="244">
        <f t="shared" si="18"/>
        <v>2256.4643092354108</v>
      </c>
      <c r="L134" s="242">
        <f t="shared" si="19"/>
        <v>714.37602474733865</v>
      </c>
      <c r="M134" s="242">
        <f t="shared" si="19"/>
        <v>3712.8677822505028</v>
      </c>
      <c r="N134" s="245">
        <v>0</v>
      </c>
      <c r="O134" s="219" t="s">
        <v>269</v>
      </c>
      <c r="P134" s="86"/>
      <c r="Q134" s="86"/>
      <c r="R134" s="86"/>
    </row>
    <row r="135" spans="1:27" s="58" customFormat="1" ht="10.5" hidden="1" thickBot="1" x14ac:dyDescent="0.2">
      <c r="A135" s="135"/>
      <c r="B135" s="135"/>
      <c r="C135" s="136"/>
      <c r="D135" s="135"/>
      <c r="E135" s="135"/>
      <c r="F135" s="135"/>
      <c r="G135" s="135"/>
      <c r="H135" s="135"/>
      <c r="I135" s="135"/>
      <c r="J135" s="135"/>
      <c r="K135" s="135"/>
      <c r="L135" s="135"/>
      <c r="M135" s="135"/>
      <c r="N135" s="135"/>
      <c r="O135" s="220"/>
      <c r="P135" s="135"/>
      <c r="Q135" s="135"/>
      <c r="R135" s="135"/>
      <c r="S135" s="135"/>
      <c r="T135" s="135"/>
      <c r="U135" s="135"/>
      <c r="V135" s="135"/>
      <c r="W135" s="135"/>
      <c r="X135" s="135"/>
      <c r="Y135" s="135"/>
      <c r="Z135" s="135"/>
      <c r="AA135" s="135"/>
    </row>
    <row r="136" spans="1:27" s="58" customFormat="1" ht="9.75" hidden="1" x14ac:dyDescent="0.15">
      <c r="N136" s="68"/>
      <c r="O136" s="221"/>
    </row>
    <row r="137" spans="1:27" s="58" customFormat="1" ht="9.75" hidden="1" x14ac:dyDescent="0.15">
      <c r="A137" s="61" t="s">
        <v>228</v>
      </c>
      <c r="B137" s="72" t="s">
        <v>176</v>
      </c>
      <c r="C137" s="74">
        <f>$N$18</f>
        <v>242</v>
      </c>
      <c r="D137" s="75" t="s">
        <v>177</v>
      </c>
      <c r="E137" s="76">
        <f>C137-C138-C146-C154</f>
        <v>213.46600000000001</v>
      </c>
      <c r="H137" s="68"/>
      <c r="I137" s="68"/>
      <c r="J137" s="68"/>
      <c r="K137" s="75"/>
      <c r="N137" s="68"/>
      <c r="O137" s="215" t="s">
        <v>181</v>
      </c>
      <c r="P137" s="86" t="s">
        <v>284</v>
      </c>
      <c r="Q137" s="87" t="s">
        <v>214</v>
      </c>
      <c r="R137" s="87" t="s">
        <v>225</v>
      </c>
      <c r="S137" s="86" t="s">
        <v>297</v>
      </c>
      <c r="T137" s="87" t="s">
        <v>182</v>
      </c>
      <c r="U137" s="87" t="s">
        <v>183</v>
      </c>
      <c r="V137" s="86" t="s">
        <v>256</v>
      </c>
      <c r="W137" s="86" t="s">
        <v>257</v>
      </c>
    </row>
    <row r="138" spans="1:27" s="58" customFormat="1" ht="9.75" hidden="1" x14ac:dyDescent="0.15">
      <c r="A138" s="131" t="s">
        <v>178</v>
      </c>
      <c r="B138" s="77" t="s">
        <v>177</v>
      </c>
      <c r="C138" s="78">
        <f>SUM($B$19:$J$19)</f>
        <v>9.802999999999999</v>
      </c>
      <c r="D138" s="86"/>
      <c r="E138" s="86"/>
      <c r="F138" s="86"/>
      <c r="G138" s="86"/>
      <c r="H138" s="77"/>
      <c r="I138" s="78"/>
      <c r="J138" s="115"/>
      <c r="K138" s="101" t="s">
        <v>180</v>
      </c>
      <c r="M138" s="68"/>
      <c r="N138" s="68"/>
      <c r="O138" s="261">
        <f>$P$147*J128*($I$11="剑出鸿蒙")</f>
        <v>443552.46303148341</v>
      </c>
      <c r="P138" s="262">
        <f t="shared" ref="P138:P144" si="25">SUM(P184:S184)</f>
        <v>817019.60725751845</v>
      </c>
      <c r="Q138" s="262">
        <f>(E173-C173)*$S$151</f>
        <v>39227.174776237291</v>
      </c>
      <c r="R138" s="262">
        <f t="shared" ref="R138:R144" si="26">($R162+$S162)*$B$59</f>
        <v>220749.74985102494</v>
      </c>
      <c r="S138" s="262">
        <f t="shared" ref="S138:S144" si="27">($R173+$S173)*($E$17="是")</f>
        <v>0</v>
      </c>
      <c r="T138" s="263">
        <f t="shared" ref="T138:T144" si="28">$S$149*($C128-$B128)*-1*($C$17="否")</f>
        <v>-100346.46556524356</v>
      </c>
      <c r="U138" s="264">
        <f t="shared" ref="U138:U144" si="29">$C128*$R$153*-1</f>
        <v>-76550.038199547344</v>
      </c>
      <c r="V138" s="262">
        <f t="shared" ref="V138:V144" si="30">$E128*$R$155*-1</f>
        <v>-37006.077531673334</v>
      </c>
      <c r="W138" s="262">
        <f t="shared" ref="W138:W144" si="31">(QUOTIENT($T$155*$C$162,$C$112+$B$100-INDEX($O$104:$U$107,MATCH(MIN(COUNTIF($B$18:$J$22,"=太极"),2),$O$104:$O$107,0),7))+$U$155)*$C128-($T$155*K163+INDEX($A$210:$K$217,MATCH($A139,$A$210:$A$217,0),MATCH($U$155,$A$210:$K$210,0)))</f>
        <v>0</v>
      </c>
    </row>
    <row r="139" spans="1:27" s="58" customFormat="1" ht="9.75" hidden="1" x14ac:dyDescent="0.15">
      <c r="A139" s="86" t="s">
        <v>165</v>
      </c>
      <c r="B139" s="242">
        <f t="shared" ref="B139:J145" si="32">INDEX($A$127:$N$134,MATCH($A139,$A$127:$A$134,0),MATCH(B$18,$A$127:$N$127,0))</f>
        <v>20746.464910173556</v>
      </c>
      <c r="C139" s="242">
        <f t="shared" si="32"/>
        <v>7476.9467754380548</v>
      </c>
      <c r="D139" s="242">
        <f t="shared" si="32"/>
        <v>12758.339699924558</v>
      </c>
      <c r="E139" s="242">
        <f t="shared" si="32"/>
        <v>18503.038765836667</v>
      </c>
      <c r="F139" s="242">
        <f t="shared" si="32"/>
        <v>12758.339699924558</v>
      </c>
      <c r="G139" s="242">
        <f t="shared" si="32"/>
        <v>12758.339699924558</v>
      </c>
      <c r="H139" s="242">
        <f t="shared" si="32"/>
        <v>0</v>
      </c>
      <c r="I139" s="242">
        <f t="shared" si="32"/>
        <v>0</v>
      </c>
      <c r="J139" s="242">
        <f t="shared" si="32"/>
        <v>0</v>
      </c>
      <c r="K139" s="246">
        <f t="shared" ref="K139:K145" si="33">SUM(B139:J139)</f>
        <v>85001.469551221948</v>
      </c>
      <c r="M139" s="68"/>
      <c r="N139" s="68"/>
      <c r="O139" s="261">
        <f t="shared" ref="O139:O144" si="34">$P$147*J129*($I$11="剑出鸿蒙")</f>
        <v>391338.14115577081</v>
      </c>
      <c r="P139" s="262">
        <f t="shared" si="25"/>
        <v>720841.30072631489</v>
      </c>
      <c r="Q139" s="262">
        <f t="shared" ref="Q139:Q144" si="35">(E174-C174)*$S$151</f>
        <v>34609.41137561806</v>
      </c>
      <c r="R139" s="262">
        <f t="shared" si="26"/>
        <v>194763.4247747818</v>
      </c>
      <c r="S139" s="262">
        <f t="shared" si="27"/>
        <v>0</v>
      </c>
      <c r="T139" s="263">
        <f t="shared" si="28"/>
        <v>-88533.8321367108</v>
      </c>
      <c r="U139" s="264">
        <f t="shared" si="29"/>
        <v>-67538.684036769177</v>
      </c>
      <c r="V139" s="262">
        <f t="shared" si="30"/>
        <v>-32649.778323254286</v>
      </c>
      <c r="W139" s="262">
        <f t="shared" si="31"/>
        <v>0</v>
      </c>
    </row>
    <row r="140" spans="1:27" s="58" customFormat="1" ht="9.75" hidden="1" x14ac:dyDescent="0.15">
      <c r="A140" s="86" t="s">
        <v>166</v>
      </c>
      <c r="B140" s="242">
        <f t="shared" si="32"/>
        <v>18304.222589616111</v>
      </c>
      <c r="C140" s="242">
        <f t="shared" si="32"/>
        <v>6596.7719638451726</v>
      </c>
      <c r="D140" s="242">
        <f t="shared" si="32"/>
        <v>11256.447339461531</v>
      </c>
      <c r="E140" s="242">
        <f t="shared" si="32"/>
        <v>16324.889161627143</v>
      </c>
      <c r="F140" s="242">
        <f t="shared" si="32"/>
        <v>11256.447339461531</v>
      </c>
      <c r="G140" s="242">
        <f t="shared" si="32"/>
        <v>11256.447339461531</v>
      </c>
      <c r="H140" s="242">
        <f t="shared" si="32"/>
        <v>0</v>
      </c>
      <c r="I140" s="242">
        <f t="shared" si="32"/>
        <v>0</v>
      </c>
      <c r="J140" s="242">
        <f t="shared" si="32"/>
        <v>0</v>
      </c>
      <c r="K140" s="246">
        <f t="shared" si="33"/>
        <v>74995.225733473024</v>
      </c>
      <c r="M140" s="68"/>
      <c r="N140" s="68"/>
      <c r="O140" s="261">
        <f t="shared" si="34"/>
        <v>334616.97566541616</v>
      </c>
      <c r="P140" s="262">
        <f t="shared" si="25"/>
        <v>624685.37893900019</v>
      </c>
      <c r="Q140" s="262">
        <f t="shared" si="35"/>
        <v>29719.862596526018</v>
      </c>
      <c r="R140" s="262">
        <f t="shared" si="26"/>
        <v>168346.86408353676</v>
      </c>
      <c r="S140" s="262">
        <f t="shared" si="27"/>
        <v>0</v>
      </c>
      <c r="T140" s="263">
        <f t="shared" si="28"/>
        <v>-76050.008039446635</v>
      </c>
      <c r="U140" s="264">
        <f t="shared" si="29"/>
        <v>-57875.880822896477</v>
      </c>
      <c r="V140" s="262">
        <f t="shared" si="30"/>
        <v>-27970.488669232145</v>
      </c>
      <c r="W140" s="262">
        <f t="shared" si="31"/>
        <v>0</v>
      </c>
    </row>
    <row r="141" spans="1:27" s="58" customFormat="1" ht="9.75" hidden="1" x14ac:dyDescent="0.15">
      <c r="A141" s="86" t="s">
        <v>167</v>
      </c>
      <c r="B141" s="242">
        <f t="shared" si="32"/>
        <v>15674.504248694531</v>
      </c>
      <c r="C141" s="242">
        <f t="shared" si="32"/>
        <v>5643.3481350732736</v>
      </c>
      <c r="D141" s="242">
        <f t="shared" si="32"/>
        <v>9645.9801371494123</v>
      </c>
      <c r="E141" s="242">
        <f t="shared" si="32"/>
        <v>13985.244334616073</v>
      </c>
      <c r="F141" s="242">
        <f t="shared" si="32"/>
        <v>9645.9801371494123</v>
      </c>
      <c r="G141" s="242">
        <f t="shared" si="32"/>
        <v>9645.9801371494123</v>
      </c>
      <c r="H141" s="242">
        <f t="shared" si="32"/>
        <v>0</v>
      </c>
      <c r="I141" s="242">
        <f t="shared" si="32"/>
        <v>0</v>
      </c>
      <c r="J141" s="242">
        <f t="shared" si="32"/>
        <v>0</v>
      </c>
      <c r="K141" s="246">
        <f t="shared" si="33"/>
        <v>64241.037129832112</v>
      </c>
      <c r="M141" s="68"/>
      <c r="N141" s="68"/>
      <c r="O141" s="261">
        <f t="shared" si="34"/>
        <v>231512.78261344982</v>
      </c>
      <c r="P141" s="262">
        <f t="shared" si="25"/>
        <v>432576.5238034873</v>
      </c>
      <c r="Q141" s="262">
        <f t="shared" si="35"/>
        <v>20988.742994002423</v>
      </c>
      <c r="R141" s="262">
        <f t="shared" si="26"/>
        <v>122101.08650867577</v>
      </c>
      <c r="S141" s="262">
        <f t="shared" si="27"/>
        <v>0</v>
      </c>
      <c r="T141" s="263">
        <f t="shared" si="28"/>
        <v>-53788.544626527801</v>
      </c>
      <c r="U141" s="264">
        <f t="shared" si="29"/>
        <v>-40467.700794492397</v>
      </c>
      <c r="V141" s="262">
        <f t="shared" si="30"/>
        <v>-19530.334888384357</v>
      </c>
      <c r="W141" s="262">
        <f t="shared" si="31"/>
        <v>0</v>
      </c>
    </row>
    <row r="142" spans="1:27" s="58" customFormat="1" ht="9.75" hidden="1" x14ac:dyDescent="0.15">
      <c r="A142" s="86" t="s">
        <v>298</v>
      </c>
      <c r="B142" s="242">
        <f t="shared" si="32"/>
        <v>10923.210163594946</v>
      </c>
      <c r="C142" s="242">
        <f t="shared" si="32"/>
        <v>3913.6407661069184</v>
      </c>
      <c r="D142" s="242">
        <f t="shared" si="32"/>
        <v>6744.6167990820659</v>
      </c>
      <c r="E142" s="242">
        <f t="shared" si="32"/>
        <v>9765.1674441921787</v>
      </c>
      <c r="F142" s="242">
        <f t="shared" si="32"/>
        <v>6744.6167990820659</v>
      </c>
      <c r="G142" s="242">
        <f t="shared" si="32"/>
        <v>6744.6167990820659</v>
      </c>
      <c r="H142" s="242">
        <f t="shared" si="32"/>
        <v>0</v>
      </c>
      <c r="I142" s="242">
        <f t="shared" si="32"/>
        <v>0</v>
      </c>
      <c r="J142" s="242">
        <f t="shared" si="32"/>
        <v>0</v>
      </c>
      <c r="K142" s="246">
        <f t="shared" si="33"/>
        <v>44835.868771140245</v>
      </c>
      <c r="M142" s="68"/>
      <c r="N142" s="68"/>
      <c r="O142" s="261">
        <f t="shared" si="34"/>
        <v>311683.89071594336</v>
      </c>
      <c r="P142" s="262">
        <f t="shared" si="25"/>
        <v>582167.79178273608</v>
      </c>
      <c r="Q142" s="262">
        <f t="shared" si="35"/>
        <v>28020.722301739512</v>
      </c>
      <c r="R142" s="262">
        <f t="shared" si="26"/>
        <v>161265.9089977101</v>
      </c>
      <c r="S142" s="262">
        <f t="shared" si="27"/>
        <v>0</v>
      </c>
      <c r="T142" s="263">
        <f t="shared" si="28"/>
        <v>-71765.896642898835</v>
      </c>
      <c r="U142" s="264">
        <f t="shared" si="29"/>
        <v>-54245.902862689203</v>
      </c>
      <c r="V142" s="262">
        <f t="shared" si="30"/>
        <v>-26194.744414960343</v>
      </c>
      <c r="W142" s="262">
        <f t="shared" si="31"/>
        <v>0</v>
      </c>
    </row>
    <row r="143" spans="1:27" s="58" customFormat="1" ht="9.75" hidden="1" x14ac:dyDescent="0.15">
      <c r="A143" s="86" t="s">
        <v>301</v>
      </c>
      <c r="B143" s="242">
        <f t="shared" si="32"/>
        <v>14662.37258669664</v>
      </c>
      <c r="C143" s="242">
        <f t="shared" si="32"/>
        <v>5263.8313555587883</v>
      </c>
      <c r="D143" s="242">
        <f t="shared" si="32"/>
        <v>9040.9838104482005</v>
      </c>
      <c r="E143" s="242">
        <f t="shared" si="32"/>
        <v>13097.372207480172</v>
      </c>
      <c r="F143" s="242">
        <f t="shared" si="32"/>
        <v>9040.9838104482005</v>
      </c>
      <c r="G143" s="242">
        <f t="shared" si="32"/>
        <v>9040.9838104482005</v>
      </c>
      <c r="H143" s="242">
        <f t="shared" si="32"/>
        <v>0</v>
      </c>
      <c r="I143" s="242">
        <f t="shared" si="32"/>
        <v>0</v>
      </c>
      <c r="J143" s="242">
        <f t="shared" si="32"/>
        <v>0</v>
      </c>
      <c r="K143" s="246">
        <f t="shared" si="33"/>
        <v>60146.527581080212</v>
      </c>
      <c r="M143" s="68"/>
      <c r="N143" s="68"/>
      <c r="O143" s="261">
        <f t="shared" si="34"/>
        <v>311683.89071594336</v>
      </c>
      <c r="P143" s="262">
        <f t="shared" si="25"/>
        <v>582167.79178273608</v>
      </c>
      <c r="Q143" s="262">
        <f t="shared" si="35"/>
        <v>28020.722301739512</v>
      </c>
      <c r="R143" s="262">
        <f t="shared" si="26"/>
        <v>161265.9089977101</v>
      </c>
      <c r="S143" s="262">
        <f t="shared" si="27"/>
        <v>0</v>
      </c>
      <c r="T143" s="263">
        <f t="shared" si="28"/>
        <v>-71765.896642898835</v>
      </c>
      <c r="U143" s="264">
        <f t="shared" si="29"/>
        <v>-54245.902862689203</v>
      </c>
      <c r="V143" s="262">
        <f t="shared" si="30"/>
        <v>-26194.744414960343</v>
      </c>
      <c r="W143" s="262">
        <f t="shared" si="31"/>
        <v>0</v>
      </c>
    </row>
    <row r="144" spans="1:27" s="58" customFormat="1" ht="9.75" hidden="1" x14ac:dyDescent="0.15">
      <c r="A144" s="86" t="s">
        <v>303</v>
      </c>
      <c r="B144" s="242">
        <f t="shared" si="32"/>
        <v>14662.37258669664</v>
      </c>
      <c r="C144" s="242">
        <f t="shared" si="32"/>
        <v>5263.8313555587883</v>
      </c>
      <c r="D144" s="242">
        <f t="shared" si="32"/>
        <v>9040.9838104482005</v>
      </c>
      <c r="E144" s="242">
        <f t="shared" si="32"/>
        <v>13097.372207480172</v>
      </c>
      <c r="F144" s="242">
        <f t="shared" si="32"/>
        <v>9040.9838104482005</v>
      </c>
      <c r="G144" s="242">
        <f t="shared" si="32"/>
        <v>9040.9838104482005</v>
      </c>
      <c r="H144" s="242">
        <f t="shared" si="32"/>
        <v>0</v>
      </c>
      <c r="I144" s="242">
        <f t="shared" si="32"/>
        <v>0</v>
      </c>
      <c r="J144" s="242">
        <f t="shared" si="32"/>
        <v>0</v>
      </c>
      <c r="K144" s="246">
        <f t="shared" si="33"/>
        <v>60146.527581080212</v>
      </c>
      <c r="M144" s="68"/>
      <c r="N144" s="68"/>
      <c r="O144" s="261">
        <f t="shared" si="34"/>
        <v>311683.89071594336</v>
      </c>
      <c r="P144" s="262">
        <f t="shared" si="25"/>
        <v>582167.79178273608</v>
      </c>
      <c r="Q144" s="262">
        <f t="shared" si="35"/>
        <v>28020.722301739512</v>
      </c>
      <c r="R144" s="262">
        <f t="shared" si="26"/>
        <v>161265.9089977101</v>
      </c>
      <c r="S144" s="262">
        <f t="shared" si="27"/>
        <v>0</v>
      </c>
      <c r="T144" s="263">
        <f t="shared" si="28"/>
        <v>-71765.896642898835</v>
      </c>
      <c r="U144" s="264">
        <f t="shared" si="29"/>
        <v>-54245.902862689203</v>
      </c>
      <c r="V144" s="262">
        <f t="shared" si="30"/>
        <v>-26194.744414960343</v>
      </c>
      <c r="W144" s="262">
        <f t="shared" si="31"/>
        <v>0</v>
      </c>
    </row>
    <row r="145" spans="1:22" s="58" customFormat="1" ht="9.75" hidden="1" x14ac:dyDescent="0.15">
      <c r="A145" s="124" t="s">
        <v>305</v>
      </c>
      <c r="B145" s="247">
        <f t="shared" si="32"/>
        <v>14662.37258669664</v>
      </c>
      <c r="C145" s="247">
        <f t="shared" si="32"/>
        <v>5263.8313555587883</v>
      </c>
      <c r="D145" s="247">
        <f t="shared" si="32"/>
        <v>9040.9838104482005</v>
      </c>
      <c r="E145" s="247">
        <f t="shared" si="32"/>
        <v>13097.372207480172</v>
      </c>
      <c r="F145" s="247">
        <f t="shared" si="32"/>
        <v>9040.9838104482005</v>
      </c>
      <c r="G145" s="247">
        <f t="shared" si="32"/>
        <v>9040.9838104482005</v>
      </c>
      <c r="H145" s="247">
        <f t="shared" si="32"/>
        <v>0</v>
      </c>
      <c r="I145" s="247">
        <f t="shared" si="32"/>
        <v>0</v>
      </c>
      <c r="J145" s="247">
        <f t="shared" si="32"/>
        <v>0</v>
      </c>
      <c r="K145" s="248">
        <f t="shared" si="33"/>
        <v>60146.527581080212</v>
      </c>
      <c r="M145" s="68"/>
      <c r="N145" s="68"/>
      <c r="O145" s="222" t="s">
        <v>213</v>
      </c>
      <c r="P145" s="127"/>
      <c r="Q145" s="127"/>
      <c r="R145" s="127"/>
      <c r="S145" s="127"/>
      <c r="T145" s="127"/>
      <c r="U145" s="127"/>
      <c r="V145" s="127"/>
    </row>
    <row r="146" spans="1:22" s="58" customFormat="1" ht="9.75" hidden="1" x14ac:dyDescent="0.15">
      <c r="A146" s="132" t="s">
        <v>184</v>
      </c>
      <c r="B146" s="120" t="s">
        <v>177</v>
      </c>
      <c r="C146" s="128">
        <f>SUM($B$21:$J$21)</f>
        <v>9.427999999999999</v>
      </c>
      <c r="D146" s="122"/>
      <c r="E146" s="122"/>
      <c r="F146" s="86"/>
      <c r="G146" s="86"/>
      <c r="H146" s="77"/>
      <c r="I146" s="128"/>
      <c r="J146" s="133"/>
      <c r="K146" s="152" t="s">
        <v>180</v>
      </c>
      <c r="M146" s="68"/>
      <c r="N146" s="68"/>
      <c r="O146" s="214" t="s">
        <v>185</v>
      </c>
      <c r="P146" s="86" t="s">
        <v>186</v>
      </c>
      <c r="Q146" s="86" t="s">
        <v>187</v>
      </c>
      <c r="R146" s="86"/>
      <c r="S146" s="86"/>
      <c r="T146" s="86"/>
      <c r="U146" s="86"/>
    </row>
    <row r="147" spans="1:22" s="58" customFormat="1" ht="9.75" hidden="1" x14ac:dyDescent="0.15">
      <c r="A147" s="86" t="s">
        <v>165</v>
      </c>
      <c r="B147" s="242">
        <f t="shared" ref="B147:J153" si="36">INDEX($A$127:$N$134,MATCH($A147,$A$127:$A$134,0),MATCH(B$20,$A$127:$N$127,0))</f>
        <v>25881.919417967074</v>
      </c>
      <c r="C147" s="242">
        <f t="shared" si="36"/>
        <v>7476.9467754380548</v>
      </c>
      <c r="D147" s="242">
        <f t="shared" si="36"/>
        <v>12758.339699924558</v>
      </c>
      <c r="E147" s="242">
        <f t="shared" si="36"/>
        <v>18503.038765836667</v>
      </c>
      <c r="F147" s="242">
        <f t="shared" si="36"/>
        <v>12758.339699924558</v>
      </c>
      <c r="G147" s="242">
        <f t="shared" si="36"/>
        <v>12758.339699924558</v>
      </c>
      <c r="H147" s="242">
        <f t="shared" si="36"/>
        <v>0</v>
      </c>
      <c r="I147" s="242">
        <f t="shared" si="36"/>
        <v>0</v>
      </c>
      <c r="J147" s="242">
        <f t="shared" si="36"/>
        <v>0</v>
      </c>
      <c r="K147" s="246">
        <f t="shared" ref="K147:K153" si="37">SUM(B147:J147)</f>
        <v>90136.924059015466</v>
      </c>
      <c r="M147" s="68"/>
      <c r="N147" s="68"/>
      <c r="O147" s="223"/>
      <c r="P147" s="164">
        <f>(QUOTIENT($Q$147,15)+4)*5+MIN(MOD($Q$147,15)/$T$107,5)</f>
        <v>100</v>
      </c>
      <c r="Q147" s="124">
        <f>C137-2*B19-3*D19</f>
        <v>233.81</v>
      </c>
      <c r="R147" s="124"/>
      <c r="S147" s="124"/>
      <c r="T147" s="165"/>
      <c r="U147" s="166"/>
      <c r="V147" s="69"/>
    </row>
    <row r="148" spans="1:22" s="58" customFormat="1" ht="9.75" hidden="1" x14ac:dyDescent="0.15">
      <c r="A148" s="86" t="s">
        <v>166</v>
      </c>
      <c r="B148" s="242">
        <f t="shared" si="36"/>
        <v>22835.139197168104</v>
      </c>
      <c r="C148" s="242">
        <f t="shared" si="36"/>
        <v>6596.7719638451726</v>
      </c>
      <c r="D148" s="242">
        <f t="shared" si="36"/>
        <v>11256.447339461531</v>
      </c>
      <c r="E148" s="242">
        <f t="shared" si="36"/>
        <v>16324.889161627143</v>
      </c>
      <c r="F148" s="242">
        <f t="shared" si="36"/>
        <v>11256.447339461531</v>
      </c>
      <c r="G148" s="242">
        <f t="shared" si="36"/>
        <v>11256.447339461531</v>
      </c>
      <c r="H148" s="242">
        <f t="shared" si="36"/>
        <v>0</v>
      </c>
      <c r="I148" s="242">
        <f t="shared" si="36"/>
        <v>0</v>
      </c>
      <c r="J148" s="242">
        <f t="shared" si="36"/>
        <v>0</v>
      </c>
      <c r="K148" s="246">
        <f t="shared" si="37"/>
        <v>79526.142341025014</v>
      </c>
      <c r="M148" s="68"/>
      <c r="N148" s="68"/>
      <c r="O148" s="224" t="s">
        <v>188</v>
      </c>
      <c r="P148" s="167" t="s">
        <v>2</v>
      </c>
      <c r="Q148" s="167" t="s">
        <v>189</v>
      </c>
      <c r="R148" s="167" t="s">
        <v>190</v>
      </c>
      <c r="S148" s="168" t="s">
        <v>191</v>
      </c>
      <c r="T148" s="169"/>
      <c r="U148" s="170"/>
    </row>
    <row r="149" spans="1:22" s="58" customFormat="1" ht="9.75" hidden="1" x14ac:dyDescent="0.15">
      <c r="A149" s="86" t="s">
        <v>167</v>
      </c>
      <c r="B149" s="242">
        <f t="shared" si="36"/>
        <v>19554.476275249956</v>
      </c>
      <c r="C149" s="242">
        <f t="shared" si="36"/>
        <v>5643.3481350732736</v>
      </c>
      <c r="D149" s="242">
        <f t="shared" si="36"/>
        <v>9645.9801371494123</v>
      </c>
      <c r="E149" s="242">
        <f t="shared" si="36"/>
        <v>13985.244334616073</v>
      </c>
      <c r="F149" s="242">
        <f t="shared" si="36"/>
        <v>9645.9801371494123</v>
      </c>
      <c r="G149" s="242">
        <f t="shared" si="36"/>
        <v>9645.9801371494123</v>
      </c>
      <c r="H149" s="242">
        <f t="shared" si="36"/>
        <v>0</v>
      </c>
      <c r="I149" s="242">
        <f t="shared" si="36"/>
        <v>0</v>
      </c>
      <c r="J149" s="242">
        <f t="shared" si="36"/>
        <v>0</v>
      </c>
      <c r="K149" s="246">
        <f t="shared" si="37"/>
        <v>68121.009156387532</v>
      </c>
      <c r="M149" s="68"/>
      <c r="N149" s="68"/>
      <c r="O149" s="225"/>
      <c r="P149" s="171">
        <f>$B$114</f>
        <v>6</v>
      </c>
      <c r="Q149" s="171">
        <v>15</v>
      </c>
      <c r="R149" s="268">
        <f>MAX(($Q$149-$B$11),$P$149)</f>
        <v>11</v>
      </c>
      <c r="S149" s="171">
        <f>QUOTIENT($E$137,$R$149)*($C$17="否")</f>
        <v>19</v>
      </c>
      <c r="T149" s="172"/>
      <c r="U149" s="124"/>
    </row>
    <row r="150" spans="1:22" s="58" customFormat="1" ht="9.75" hidden="1" x14ac:dyDescent="0.15">
      <c r="A150" s="86" t="s">
        <v>298</v>
      </c>
      <c r="B150" s="242">
        <f t="shared" si="36"/>
        <v>13627.075574742739</v>
      </c>
      <c r="C150" s="242">
        <f t="shared" si="36"/>
        <v>3913.6407661069184</v>
      </c>
      <c r="D150" s="242">
        <f t="shared" si="36"/>
        <v>6744.6167990820659</v>
      </c>
      <c r="E150" s="242">
        <f t="shared" si="36"/>
        <v>9765.1674441921787</v>
      </c>
      <c r="F150" s="242">
        <f t="shared" si="36"/>
        <v>6744.6167990820659</v>
      </c>
      <c r="G150" s="242">
        <f t="shared" si="36"/>
        <v>6744.6167990820659</v>
      </c>
      <c r="H150" s="242">
        <f t="shared" si="36"/>
        <v>0</v>
      </c>
      <c r="I150" s="242">
        <f t="shared" si="36"/>
        <v>0</v>
      </c>
      <c r="J150" s="242">
        <f t="shared" si="36"/>
        <v>0</v>
      </c>
      <c r="K150" s="246">
        <f t="shared" si="37"/>
        <v>47539.734182288041</v>
      </c>
      <c r="M150" s="68"/>
      <c r="N150" s="68"/>
      <c r="O150" s="224" t="s">
        <v>192</v>
      </c>
      <c r="P150" s="167" t="s">
        <v>3</v>
      </c>
      <c r="Q150" s="167" t="s">
        <v>193</v>
      </c>
      <c r="R150" s="167" t="s">
        <v>271</v>
      </c>
      <c r="S150" s="167" t="s">
        <v>273</v>
      </c>
      <c r="T150" s="167"/>
      <c r="U150" s="113"/>
    </row>
    <row r="151" spans="1:22" s="58" customFormat="1" ht="9.75" hidden="1" x14ac:dyDescent="0.15">
      <c r="A151" s="86" t="s">
        <v>301</v>
      </c>
      <c r="B151" s="242">
        <f t="shared" si="36"/>
        <v>18291.807660157043</v>
      </c>
      <c r="C151" s="242">
        <f t="shared" si="36"/>
        <v>5263.8313555587883</v>
      </c>
      <c r="D151" s="242">
        <f t="shared" si="36"/>
        <v>9040.9838104482005</v>
      </c>
      <c r="E151" s="242">
        <f t="shared" si="36"/>
        <v>13097.372207480172</v>
      </c>
      <c r="F151" s="242">
        <f t="shared" si="36"/>
        <v>9040.9838104482005</v>
      </c>
      <c r="G151" s="242">
        <f t="shared" si="36"/>
        <v>9040.9838104482005</v>
      </c>
      <c r="H151" s="242">
        <f t="shared" si="36"/>
        <v>0</v>
      </c>
      <c r="I151" s="242">
        <f t="shared" si="36"/>
        <v>0</v>
      </c>
      <c r="J151" s="242">
        <f t="shared" si="36"/>
        <v>0</v>
      </c>
      <c r="K151" s="246">
        <f t="shared" si="37"/>
        <v>63775.962654540606</v>
      </c>
      <c r="M151" s="68"/>
      <c r="N151" s="68"/>
      <c r="O151" s="225"/>
      <c r="P151" s="171">
        <v>150</v>
      </c>
      <c r="Q151" s="171">
        <v>15</v>
      </c>
      <c r="R151" s="173">
        <f>((QUOTIENT(E$137,P$151)+$B$73)*15+MIN(MOD(E$137,P$151),15))*$B$61</f>
        <v>30</v>
      </c>
      <c r="S151" s="173">
        <f>QUOTIENT($R$151,SUM(B$25:$J$25))*(COUNTIF(C24:J24,"&lt;&gt;无")/2-1)+MAX(QUOTIENT(MOD($R$151,SUM(B$25:$J$25))/$C$25,2)-1,0)</f>
        <v>4.5</v>
      </c>
      <c r="T151" s="171"/>
      <c r="U151" s="124"/>
    </row>
    <row r="152" spans="1:22" s="58" customFormat="1" ht="9.75" hidden="1" x14ac:dyDescent="0.15">
      <c r="A152" s="86" t="s">
        <v>303</v>
      </c>
      <c r="B152" s="242">
        <f t="shared" si="36"/>
        <v>18291.807660157043</v>
      </c>
      <c r="C152" s="242">
        <f t="shared" si="36"/>
        <v>5263.8313555587883</v>
      </c>
      <c r="D152" s="242">
        <f t="shared" si="36"/>
        <v>9040.9838104482005</v>
      </c>
      <c r="E152" s="242">
        <f t="shared" si="36"/>
        <v>13097.372207480172</v>
      </c>
      <c r="F152" s="242">
        <f t="shared" si="36"/>
        <v>9040.9838104482005</v>
      </c>
      <c r="G152" s="242">
        <f t="shared" si="36"/>
        <v>9040.9838104482005</v>
      </c>
      <c r="H152" s="242">
        <f t="shared" si="36"/>
        <v>0</v>
      </c>
      <c r="I152" s="242">
        <f t="shared" si="36"/>
        <v>0</v>
      </c>
      <c r="J152" s="242">
        <f t="shared" si="36"/>
        <v>0</v>
      </c>
      <c r="K152" s="246">
        <f t="shared" si="37"/>
        <v>63775.962654540606</v>
      </c>
      <c r="M152" s="68"/>
      <c r="N152" s="68"/>
      <c r="O152" s="226" t="s">
        <v>197</v>
      </c>
      <c r="P152" s="113" t="s">
        <v>5</v>
      </c>
      <c r="Q152" s="113" t="s">
        <v>193</v>
      </c>
      <c r="R152" s="113" t="s">
        <v>272</v>
      </c>
      <c r="S152" s="167"/>
      <c r="T152" s="167"/>
      <c r="U152" s="113"/>
    </row>
    <row r="153" spans="1:22" s="58" customFormat="1" ht="9.75" hidden="1" x14ac:dyDescent="0.15">
      <c r="A153" s="124" t="s">
        <v>305</v>
      </c>
      <c r="B153" s="247">
        <f t="shared" si="36"/>
        <v>18291.807660157043</v>
      </c>
      <c r="C153" s="247">
        <f t="shared" si="36"/>
        <v>5263.8313555587883</v>
      </c>
      <c r="D153" s="247">
        <f t="shared" si="36"/>
        <v>9040.9838104482005</v>
      </c>
      <c r="E153" s="247">
        <f t="shared" si="36"/>
        <v>13097.372207480172</v>
      </c>
      <c r="F153" s="247">
        <f t="shared" si="36"/>
        <v>9040.9838104482005</v>
      </c>
      <c r="G153" s="247">
        <f t="shared" si="36"/>
        <v>9040.9838104482005</v>
      </c>
      <c r="H153" s="247">
        <f t="shared" si="36"/>
        <v>0</v>
      </c>
      <c r="I153" s="247">
        <f t="shared" si="36"/>
        <v>0</v>
      </c>
      <c r="J153" s="247">
        <f t="shared" si="36"/>
        <v>0</v>
      </c>
      <c r="K153" s="248">
        <f t="shared" si="37"/>
        <v>63775.962654540606</v>
      </c>
      <c r="M153" s="68"/>
      <c r="N153" s="68"/>
      <c r="O153" s="223"/>
      <c r="P153" s="124">
        <v>10</v>
      </c>
      <c r="Q153" s="124">
        <f>36-3</f>
        <v>33</v>
      </c>
      <c r="R153" s="166">
        <f>ROUNDUP(($C$137-$Q$153)/36,0)</f>
        <v>6</v>
      </c>
      <c r="S153" s="171"/>
      <c r="T153" s="171"/>
      <c r="U153" s="124"/>
    </row>
    <row r="154" spans="1:22" s="58" customFormat="1" ht="9.75" hidden="1" x14ac:dyDescent="0.15">
      <c r="A154" s="132" t="s">
        <v>196</v>
      </c>
      <c r="B154" s="120" t="s">
        <v>177</v>
      </c>
      <c r="C154" s="128">
        <f>SUM($B$23:$J$23)</f>
        <v>9.302999999999999</v>
      </c>
      <c r="D154" s="122"/>
      <c r="E154" s="122"/>
      <c r="F154" s="86"/>
      <c r="G154" s="86"/>
      <c r="H154" s="77"/>
      <c r="I154" s="128"/>
      <c r="J154" s="133"/>
      <c r="K154" s="152" t="s">
        <v>180</v>
      </c>
      <c r="M154" s="68"/>
      <c r="N154" s="68"/>
      <c r="O154" s="224" t="s">
        <v>194</v>
      </c>
      <c r="P154" s="167" t="s">
        <v>4</v>
      </c>
      <c r="Q154" s="167" t="s">
        <v>6</v>
      </c>
      <c r="R154" s="167" t="s">
        <v>195</v>
      </c>
      <c r="S154" s="113" t="s">
        <v>241</v>
      </c>
      <c r="T154" s="167" t="s">
        <v>242</v>
      </c>
      <c r="U154" s="113" t="s">
        <v>243</v>
      </c>
    </row>
    <row r="155" spans="1:22" s="58" customFormat="1" ht="9.75" hidden="1" x14ac:dyDescent="0.15">
      <c r="A155" s="86" t="s">
        <v>165</v>
      </c>
      <c r="B155" s="242">
        <f t="shared" ref="B155:J161" si="38">INDEX($A$127:$N$134,MATCH($A155,$A$127:$A$134,0),MATCH(B$22,$A$127:$N$127,0))</f>
        <v>31678.105842530582</v>
      </c>
      <c r="C155" s="242">
        <f t="shared" si="38"/>
        <v>7476.9467754380548</v>
      </c>
      <c r="D155" s="242">
        <f t="shared" si="38"/>
        <v>12758.339699924558</v>
      </c>
      <c r="E155" s="242">
        <f t="shared" si="38"/>
        <v>18503.038765836667</v>
      </c>
      <c r="F155" s="242">
        <f t="shared" si="38"/>
        <v>12758.339699924558</v>
      </c>
      <c r="G155" s="242">
        <f t="shared" si="38"/>
        <v>12758.339699924558</v>
      </c>
      <c r="H155" s="242">
        <f t="shared" si="38"/>
        <v>0</v>
      </c>
      <c r="I155" s="242">
        <f t="shared" si="38"/>
        <v>0</v>
      </c>
      <c r="J155" s="242">
        <f t="shared" si="38"/>
        <v>0</v>
      </c>
      <c r="K155" s="246">
        <f t="shared" ref="K155:K161" si="39">SUM(B155:J155)</f>
        <v>95933.110483578988</v>
      </c>
      <c r="M155" s="68"/>
      <c r="N155" s="68"/>
      <c r="O155" s="225"/>
      <c r="P155" s="171">
        <v>90</v>
      </c>
      <c r="Q155" s="171">
        <v>90</v>
      </c>
      <c r="R155" s="171">
        <f>QUOTIENT($C$137,ROUNDUP(35000*0.6/2300,0)*$C$162)*(B12="使用")</f>
        <v>2</v>
      </c>
      <c r="S155" s="175">
        <f>($C$112+$B$100-INDEX($O$104:$U$107,MATCH(MIN(COUNTIF($B$18:$J$22,"=太极"),2),$O$104:$O$107,0),7))*R155</f>
        <v>3.101</v>
      </c>
      <c r="T155" s="171">
        <f>QUOTIENT($S$155,$C$162)</f>
        <v>0</v>
      </c>
      <c r="U155" s="124">
        <f>VLOOKUP(S155,$L$210:$M$219,2)</f>
        <v>2</v>
      </c>
    </row>
    <row r="156" spans="1:22" s="58" customFormat="1" ht="9.75" hidden="1" x14ac:dyDescent="0.15">
      <c r="A156" s="86" t="s">
        <v>166</v>
      </c>
      <c r="B156" s="242">
        <f t="shared" si="38"/>
        <v>27949.007364370671</v>
      </c>
      <c r="C156" s="242">
        <f t="shared" si="38"/>
        <v>6596.7719638451726</v>
      </c>
      <c r="D156" s="242">
        <f t="shared" si="38"/>
        <v>11256.447339461531</v>
      </c>
      <c r="E156" s="242">
        <f t="shared" si="38"/>
        <v>16324.889161627143</v>
      </c>
      <c r="F156" s="242">
        <f t="shared" si="38"/>
        <v>11256.447339461531</v>
      </c>
      <c r="G156" s="242">
        <f t="shared" si="38"/>
        <v>11256.447339461531</v>
      </c>
      <c r="H156" s="242">
        <f t="shared" si="38"/>
        <v>0</v>
      </c>
      <c r="I156" s="242">
        <f t="shared" si="38"/>
        <v>0</v>
      </c>
      <c r="J156" s="242">
        <f t="shared" si="38"/>
        <v>0</v>
      </c>
      <c r="K156" s="246">
        <f t="shared" si="39"/>
        <v>84640.010508227584</v>
      </c>
      <c r="M156" s="68"/>
      <c r="N156" s="68"/>
      <c r="O156" s="226" t="s">
        <v>198</v>
      </c>
      <c r="P156" s="176" t="s">
        <v>199</v>
      </c>
      <c r="Q156" s="113" t="s">
        <v>200</v>
      </c>
      <c r="R156" s="113" t="s">
        <v>201</v>
      </c>
      <c r="S156" s="113"/>
      <c r="T156" s="167"/>
      <c r="U156" s="113"/>
    </row>
    <row r="157" spans="1:22" s="58" customFormat="1" ht="9.75" hidden="1" x14ac:dyDescent="0.15">
      <c r="A157" s="86" t="s">
        <v>167</v>
      </c>
      <c r="B157" s="242">
        <f t="shared" si="38"/>
        <v>23933.648781573887</v>
      </c>
      <c r="C157" s="242">
        <f t="shared" si="38"/>
        <v>5643.3481350732736</v>
      </c>
      <c r="D157" s="242">
        <f t="shared" si="38"/>
        <v>9645.9801371494123</v>
      </c>
      <c r="E157" s="242">
        <f t="shared" si="38"/>
        <v>13985.244334616073</v>
      </c>
      <c r="F157" s="242">
        <f t="shared" si="38"/>
        <v>9645.9801371494123</v>
      </c>
      <c r="G157" s="242">
        <f t="shared" si="38"/>
        <v>9645.9801371494123</v>
      </c>
      <c r="H157" s="242">
        <f t="shared" si="38"/>
        <v>0</v>
      </c>
      <c r="I157" s="242">
        <f t="shared" si="38"/>
        <v>0</v>
      </c>
      <c r="J157" s="242">
        <f t="shared" si="38"/>
        <v>0</v>
      </c>
      <c r="K157" s="246">
        <f t="shared" si="39"/>
        <v>72500.181662711475</v>
      </c>
      <c r="M157" s="68"/>
      <c r="N157" s="68"/>
      <c r="O157" s="223"/>
      <c r="P157" s="177">
        <f>MOD($E$137,$C$162)</f>
        <v>8.8000000000000291</v>
      </c>
      <c r="Q157" s="166">
        <f>VLOOKUP(P157,L191:M199,2)</f>
        <v>5</v>
      </c>
      <c r="R157" s="124">
        <f>INDEX($A$191:$K$207,MATCH($O$193,$A$191:$A$207,0),MATCH($Q$157,$A$191:$K$191,0))</f>
        <v>81516.273961141342</v>
      </c>
      <c r="S157" s="124"/>
      <c r="T157" s="134"/>
      <c r="U157" s="124"/>
    </row>
    <row r="158" spans="1:22" s="58" customFormat="1" ht="9.75" hidden="1" x14ac:dyDescent="0.15">
      <c r="A158" s="86" t="s">
        <v>298</v>
      </c>
      <c r="B158" s="242">
        <f t="shared" si="38"/>
        <v>16678.822594633151</v>
      </c>
      <c r="C158" s="242">
        <f t="shared" si="38"/>
        <v>3913.6407661069184</v>
      </c>
      <c r="D158" s="242">
        <f t="shared" si="38"/>
        <v>6744.6167990820659</v>
      </c>
      <c r="E158" s="242">
        <f t="shared" si="38"/>
        <v>9765.1674441921787</v>
      </c>
      <c r="F158" s="242">
        <f t="shared" si="38"/>
        <v>6744.6167990820659</v>
      </c>
      <c r="G158" s="242">
        <f t="shared" si="38"/>
        <v>6744.6167990820659</v>
      </c>
      <c r="H158" s="242">
        <f t="shared" si="38"/>
        <v>0</v>
      </c>
      <c r="I158" s="242">
        <f t="shared" si="38"/>
        <v>0</v>
      </c>
      <c r="J158" s="242">
        <f t="shared" si="38"/>
        <v>0</v>
      </c>
      <c r="K158" s="246">
        <f t="shared" si="39"/>
        <v>50591.481202178446</v>
      </c>
      <c r="M158" s="68"/>
      <c r="N158" s="68"/>
      <c r="O158" s="213" t="s">
        <v>240</v>
      </c>
      <c r="T158" s="62"/>
    </row>
    <row r="159" spans="1:22" s="58" customFormat="1" ht="9.75" hidden="1" x14ac:dyDescent="0.15">
      <c r="A159" s="86" t="s">
        <v>301</v>
      </c>
      <c r="B159" s="242">
        <f t="shared" si="38"/>
        <v>22388.208917280524</v>
      </c>
      <c r="C159" s="242">
        <f t="shared" si="38"/>
        <v>5263.8313555587883</v>
      </c>
      <c r="D159" s="242">
        <f t="shared" si="38"/>
        <v>9040.9838104482005</v>
      </c>
      <c r="E159" s="242">
        <f t="shared" si="38"/>
        <v>13097.372207480172</v>
      </c>
      <c r="F159" s="242">
        <f t="shared" si="38"/>
        <v>9040.9838104482005</v>
      </c>
      <c r="G159" s="242">
        <f t="shared" si="38"/>
        <v>9040.9838104482005</v>
      </c>
      <c r="H159" s="242">
        <f t="shared" si="38"/>
        <v>0</v>
      </c>
      <c r="I159" s="242">
        <f t="shared" si="38"/>
        <v>0</v>
      </c>
      <c r="J159" s="242">
        <f t="shared" si="38"/>
        <v>0</v>
      </c>
      <c r="K159" s="246">
        <f t="shared" si="39"/>
        <v>67872.363911664084</v>
      </c>
      <c r="M159" s="68"/>
      <c r="N159" s="68"/>
      <c r="O159" s="227" t="s">
        <v>202</v>
      </c>
      <c r="P159" s="97" t="s">
        <v>203</v>
      </c>
      <c r="Q159" s="97" t="s">
        <v>204</v>
      </c>
      <c r="R159" s="97" t="s">
        <v>200</v>
      </c>
      <c r="S159" s="93" t="s">
        <v>253</v>
      </c>
    </row>
    <row r="160" spans="1:22" s="58" customFormat="1" ht="9.75" hidden="1" x14ac:dyDescent="0.15">
      <c r="A160" s="86" t="s">
        <v>303</v>
      </c>
      <c r="B160" s="242">
        <f t="shared" si="38"/>
        <v>22388.208917280524</v>
      </c>
      <c r="C160" s="242">
        <f t="shared" si="38"/>
        <v>5263.8313555587883</v>
      </c>
      <c r="D160" s="242">
        <f t="shared" si="38"/>
        <v>9040.9838104482005</v>
      </c>
      <c r="E160" s="242">
        <f t="shared" si="38"/>
        <v>13097.372207480172</v>
      </c>
      <c r="F160" s="242">
        <f t="shared" si="38"/>
        <v>9040.9838104482005</v>
      </c>
      <c r="G160" s="242">
        <f t="shared" si="38"/>
        <v>9040.9838104482005</v>
      </c>
      <c r="H160" s="242">
        <f t="shared" si="38"/>
        <v>0</v>
      </c>
      <c r="I160" s="242">
        <f t="shared" si="38"/>
        <v>0</v>
      </c>
      <c r="J160" s="242">
        <f t="shared" si="38"/>
        <v>0</v>
      </c>
      <c r="K160" s="246">
        <f t="shared" si="39"/>
        <v>67872.363911664084</v>
      </c>
      <c r="M160" s="68"/>
      <c r="N160" s="68"/>
      <c r="O160" s="228">
        <f>IF(I11&lt;&gt;"若水",(QUOTIENT($E$137,120)*12+12*$B$73+MIN(MOD($E$137,120),12)),(3+QUOTIENT($C$137,60))*8+MIN(MOD($C$137,60),8)+8*$B$73)</f>
        <v>24</v>
      </c>
      <c r="P160" s="171">
        <f>QUOTIENT(O$160,$C$162)</f>
        <v>2</v>
      </c>
      <c r="Q160" s="178">
        <f>MOD($O$160,$C$162)</f>
        <v>5.3940000000000019</v>
      </c>
      <c r="R160" s="171">
        <f>VLOOKUP(Q160,L191:M199,2)</f>
        <v>3</v>
      </c>
      <c r="S160" s="198">
        <f>QUOTIENT(($P$160+($R$160&gt;0))*$C$181,INDEX($O$108:$T$111,MATCH(MIN(COUNTIF($C$18:$J$22,"=太极"),2),$O$108:$O$111,0),5))</f>
        <v>10</v>
      </c>
    </row>
    <row r="161" spans="1:22" s="58" customFormat="1" ht="9.75" hidden="1" x14ac:dyDescent="0.15">
      <c r="A161" s="124" t="s">
        <v>305</v>
      </c>
      <c r="B161" s="247">
        <f t="shared" si="38"/>
        <v>22388.208917280524</v>
      </c>
      <c r="C161" s="247">
        <f t="shared" si="38"/>
        <v>5263.8313555587883</v>
      </c>
      <c r="D161" s="247">
        <f t="shared" si="38"/>
        <v>9040.9838104482005</v>
      </c>
      <c r="E161" s="247">
        <f t="shared" si="38"/>
        <v>13097.372207480172</v>
      </c>
      <c r="F161" s="247">
        <f t="shared" si="38"/>
        <v>9040.9838104482005</v>
      </c>
      <c r="G161" s="247">
        <f t="shared" si="38"/>
        <v>9040.9838104482005</v>
      </c>
      <c r="H161" s="247">
        <f t="shared" si="38"/>
        <v>0</v>
      </c>
      <c r="I161" s="247">
        <f t="shared" si="38"/>
        <v>0</v>
      </c>
      <c r="J161" s="247">
        <f t="shared" si="38"/>
        <v>0</v>
      </c>
      <c r="K161" s="248">
        <f t="shared" si="39"/>
        <v>67872.363911664084</v>
      </c>
      <c r="M161" s="68"/>
      <c r="N161" s="68"/>
      <c r="O161" s="229" t="s">
        <v>249</v>
      </c>
      <c r="P161" s="122" t="s">
        <v>222</v>
      </c>
      <c r="Q161" s="122" t="s">
        <v>223</v>
      </c>
      <c r="R161" s="163" t="s">
        <v>255</v>
      </c>
      <c r="S161" s="174" t="s">
        <v>254</v>
      </c>
      <c r="T161" s="62"/>
    </row>
    <row r="162" spans="1:22" s="58" customFormat="1" ht="9.75" hidden="1" x14ac:dyDescent="0.15">
      <c r="A162" s="132" t="s">
        <v>205</v>
      </c>
      <c r="B162" s="120" t="s">
        <v>177</v>
      </c>
      <c r="C162" s="128">
        <f>SUM($B$25:$J$25)</f>
        <v>9.302999999999999</v>
      </c>
      <c r="D162" s="122"/>
      <c r="E162" s="122"/>
      <c r="F162" s="86"/>
      <c r="G162" s="86"/>
      <c r="H162" s="77"/>
      <c r="I162" s="128"/>
      <c r="J162" s="133"/>
      <c r="K162" s="152" t="s">
        <v>180</v>
      </c>
      <c r="M162" s="68"/>
      <c r="N162" s="68"/>
      <c r="O162" s="215" t="s">
        <v>18</v>
      </c>
      <c r="P162" s="242">
        <f t="shared" ref="P162:P168" si="40">$P$160*K182+INDEX($A$199:$K$206,MATCH($O162,$A$199:$A$206,0),MATCH($R$160,$A$199:$K$199,0))+($P$160*COUNTIF($B$24:$J$24,"&lt;&gt;无")+$R$160)*$J173</f>
        <v>501371.00251229841</v>
      </c>
      <c r="Q162" s="242">
        <f t="shared" ref="Q162:Q168" si="41">$K163*$P$160+INDEX($A$191:$K$198,MATCH($O162,$A$191:$A$198,0),MATCH($R$160,$A$191:$K$191,0))+($P$160*COUNTIF($B$24:$J$24,"&lt;&gt;无")+$R$160)*$J128</f>
        <v>330853.67167208355</v>
      </c>
      <c r="R162" s="251">
        <f>P162-Q162</f>
        <v>170517.33084021485</v>
      </c>
      <c r="S162" s="242">
        <f t="shared" ref="S162:S168" si="42">$S$160*($K173*3-$K128*3)</f>
        <v>50232.419010810081</v>
      </c>
      <c r="T162" s="82"/>
      <c r="U162" s="81"/>
    </row>
    <row r="163" spans="1:22" s="58" customFormat="1" ht="9.75" hidden="1" x14ac:dyDescent="0.15">
      <c r="A163" s="86" t="s">
        <v>165</v>
      </c>
      <c r="B163" s="242">
        <f t="shared" ref="B163:J169" si="43">INDEX($A$127:$N$134,MATCH($A163,$A$127:$A$134,0),MATCH(B$24,$A$127:$N$127,0))</f>
        <v>37496.555795455555</v>
      </c>
      <c r="C163" s="242">
        <f t="shared" si="43"/>
        <v>12758.339699924558</v>
      </c>
      <c r="D163" s="242">
        <f t="shared" si="43"/>
        <v>12758.339699924558</v>
      </c>
      <c r="E163" s="242">
        <f t="shared" si="43"/>
        <v>18503.038765836667</v>
      </c>
      <c r="F163" s="242">
        <f t="shared" si="43"/>
        <v>12758.339699924558</v>
      </c>
      <c r="G163" s="242">
        <f t="shared" si="43"/>
        <v>12758.339699924558</v>
      </c>
      <c r="H163" s="242">
        <f t="shared" si="43"/>
        <v>0</v>
      </c>
      <c r="I163" s="242">
        <f t="shared" si="43"/>
        <v>0</v>
      </c>
      <c r="J163" s="242">
        <f t="shared" si="43"/>
        <v>0</v>
      </c>
      <c r="K163" s="246">
        <f t="shared" ref="K163:K169" si="44">SUM(B163:J163)</f>
        <v>107032.95336099046</v>
      </c>
      <c r="M163" s="68"/>
      <c r="N163" s="68"/>
      <c r="O163" s="215" t="s">
        <v>19</v>
      </c>
      <c r="P163" s="242">
        <f t="shared" si="40"/>
        <v>442350.3700364785</v>
      </c>
      <c r="Q163" s="242">
        <f t="shared" si="41"/>
        <v>291906.08024540415</v>
      </c>
      <c r="R163" s="251">
        <f t="shared" ref="R163:R168" si="45">P163-Q163</f>
        <v>150444.28979107435</v>
      </c>
      <c r="S163" s="242">
        <f t="shared" si="42"/>
        <v>44319.134983707445</v>
      </c>
      <c r="T163" s="83"/>
      <c r="U163" s="83"/>
    </row>
    <row r="164" spans="1:22" s="58" customFormat="1" ht="9.75" hidden="1" x14ac:dyDescent="0.15">
      <c r="A164" s="86" t="s">
        <v>166</v>
      </c>
      <c r="B164" s="242">
        <f t="shared" si="43"/>
        <v>33082.518231210161</v>
      </c>
      <c r="C164" s="242">
        <f t="shared" si="43"/>
        <v>11256.447339461531</v>
      </c>
      <c r="D164" s="242">
        <f t="shared" si="43"/>
        <v>11256.447339461531</v>
      </c>
      <c r="E164" s="242">
        <f t="shared" si="43"/>
        <v>16324.889161627143</v>
      </c>
      <c r="F164" s="242">
        <f t="shared" si="43"/>
        <v>11256.447339461531</v>
      </c>
      <c r="G164" s="242">
        <f t="shared" si="43"/>
        <v>11256.447339461531</v>
      </c>
      <c r="H164" s="242">
        <f t="shared" si="43"/>
        <v>0</v>
      </c>
      <c r="I164" s="242">
        <f t="shared" si="43"/>
        <v>0</v>
      </c>
      <c r="J164" s="242">
        <f t="shared" si="43"/>
        <v>0</v>
      </c>
      <c r="K164" s="246">
        <f t="shared" si="44"/>
        <v>94433.196750683433</v>
      </c>
      <c r="M164" s="68"/>
      <c r="N164" s="68"/>
      <c r="O164" s="215" t="s">
        <v>20</v>
      </c>
      <c r="P164" s="242">
        <f t="shared" si="40"/>
        <v>379905.41903141188</v>
      </c>
      <c r="Q164" s="242">
        <f t="shared" si="41"/>
        <v>249965.78217479767</v>
      </c>
      <c r="R164" s="251">
        <f t="shared" si="45"/>
        <v>129939.6368566142</v>
      </c>
      <c r="S164" s="242">
        <f t="shared" si="42"/>
        <v>38407.227226922543</v>
      </c>
      <c r="T164" s="79"/>
      <c r="U164" s="68"/>
    </row>
    <row r="165" spans="1:22" s="58" customFormat="1" ht="9.75" hidden="1" x14ac:dyDescent="0.15">
      <c r="A165" s="86" t="s">
        <v>167</v>
      </c>
      <c r="B165" s="242">
        <f t="shared" si="43"/>
        <v>28329.641973802798</v>
      </c>
      <c r="C165" s="242">
        <f t="shared" si="43"/>
        <v>9645.9801371494123</v>
      </c>
      <c r="D165" s="242">
        <f t="shared" si="43"/>
        <v>9645.9801371494123</v>
      </c>
      <c r="E165" s="242">
        <f t="shared" si="43"/>
        <v>13985.244334616073</v>
      </c>
      <c r="F165" s="242">
        <f t="shared" si="43"/>
        <v>9645.9801371494123</v>
      </c>
      <c r="G165" s="242">
        <f t="shared" si="43"/>
        <v>9645.9801371494123</v>
      </c>
      <c r="H165" s="242">
        <f t="shared" si="43"/>
        <v>0</v>
      </c>
      <c r="I165" s="242">
        <f t="shared" si="43"/>
        <v>0</v>
      </c>
      <c r="J165" s="242">
        <f t="shared" si="43"/>
        <v>0</v>
      </c>
      <c r="K165" s="246">
        <f t="shared" si="44"/>
        <v>80898.80685701652</v>
      </c>
      <c r="M165" s="68"/>
      <c r="N165" s="68"/>
      <c r="O165" s="215" t="s">
        <v>298</v>
      </c>
      <c r="P165" s="242">
        <f t="shared" si="40"/>
        <v>268462.06634847674</v>
      </c>
      <c r="Q165" s="242">
        <f t="shared" si="41"/>
        <v>174185.67819100528</v>
      </c>
      <c r="R165" s="251">
        <f t="shared" si="45"/>
        <v>94276.388157471461</v>
      </c>
      <c r="S165" s="242">
        <f t="shared" si="42"/>
        <v>27824.698351204308</v>
      </c>
      <c r="U165" s="68"/>
      <c r="V165" s="68"/>
    </row>
    <row r="166" spans="1:22" s="58" customFormat="1" ht="9.75" hidden="1" x14ac:dyDescent="0.15">
      <c r="A166" s="86" t="s">
        <v>298</v>
      </c>
      <c r="B166" s="242">
        <f t="shared" si="43"/>
        <v>19742.291572954957</v>
      </c>
      <c r="C166" s="242">
        <f t="shared" si="43"/>
        <v>6744.6167990820659</v>
      </c>
      <c r="D166" s="242">
        <f t="shared" si="43"/>
        <v>6744.6167990820659</v>
      </c>
      <c r="E166" s="242">
        <f t="shared" si="43"/>
        <v>9765.1674441921787</v>
      </c>
      <c r="F166" s="242">
        <f t="shared" si="43"/>
        <v>6744.6167990820659</v>
      </c>
      <c r="G166" s="242">
        <f t="shared" si="43"/>
        <v>6744.6167990820659</v>
      </c>
      <c r="H166" s="242">
        <f t="shared" si="43"/>
        <v>0</v>
      </c>
      <c r="I166" s="242">
        <f t="shared" si="43"/>
        <v>0</v>
      </c>
      <c r="J166" s="242">
        <f t="shared" si="43"/>
        <v>0</v>
      </c>
      <c r="K166" s="246">
        <f t="shared" si="44"/>
        <v>56485.926213475403</v>
      </c>
      <c r="M166" s="68"/>
      <c r="N166" s="68"/>
      <c r="O166" s="215" t="s">
        <v>301</v>
      </c>
      <c r="P166" s="242">
        <f t="shared" si="40"/>
        <v>358316.60849182244</v>
      </c>
      <c r="Q166" s="242">
        <f t="shared" si="41"/>
        <v>233817.21646913316</v>
      </c>
      <c r="R166" s="251">
        <f t="shared" si="45"/>
        <v>124499.39202268928</v>
      </c>
      <c r="S166" s="242">
        <f t="shared" si="42"/>
        <v>36766.516975020801</v>
      </c>
    </row>
    <row r="167" spans="1:22" s="58" customFormat="1" ht="9.75" hidden="1" x14ac:dyDescent="0.15">
      <c r="A167" s="86" t="s">
        <v>301</v>
      </c>
      <c r="B167" s="242">
        <f t="shared" si="43"/>
        <v>26500.344717582502</v>
      </c>
      <c r="C167" s="242">
        <f t="shared" si="43"/>
        <v>9040.9838104482005</v>
      </c>
      <c r="D167" s="242">
        <f t="shared" si="43"/>
        <v>9040.9838104482005</v>
      </c>
      <c r="E167" s="242">
        <f t="shared" si="43"/>
        <v>13097.372207480172</v>
      </c>
      <c r="F167" s="242">
        <f t="shared" si="43"/>
        <v>9040.9838104482005</v>
      </c>
      <c r="G167" s="242">
        <f t="shared" si="43"/>
        <v>9040.9838104482005</v>
      </c>
      <c r="H167" s="242">
        <f t="shared" si="43"/>
        <v>0</v>
      </c>
      <c r="I167" s="242">
        <f t="shared" si="43"/>
        <v>0</v>
      </c>
      <c r="J167" s="242">
        <f t="shared" si="43"/>
        <v>0</v>
      </c>
      <c r="K167" s="246">
        <f t="shared" si="44"/>
        <v>75761.652166855478</v>
      </c>
      <c r="M167" s="68"/>
      <c r="N167" s="68"/>
      <c r="O167" s="215" t="s">
        <v>303</v>
      </c>
      <c r="P167" s="242">
        <f t="shared" si="40"/>
        <v>358316.60849182244</v>
      </c>
      <c r="Q167" s="242">
        <f t="shared" si="41"/>
        <v>233817.21646913316</v>
      </c>
      <c r="R167" s="251">
        <f t="shared" si="45"/>
        <v>124499.39202268928</v>
      </c>
      <c r="S167" s="242">
        <f t="shared" si="42"/>
        <v>36766.516975020801</v>
      </c>
    </row>
    <row r="168" spans="1:22" s="58" customFormat="1" ht="9.75" hidden="1" x14ac:dyDescent="0.15">
      <c r="A168" s="86" t="s">
        <v>303</v>
      </c>
      <c r="B168" s="242">
        <f t="shared" si="43"/>
        <v>26500.344717582502</v>
      </c>
      <c r="C168" s="242">
        <f t="shared" si="43"/>
        <v>9040.9838104482005</v>
      </c>
      <c r="D168" s="242">
        <f t="shared" si="43"/>
        <v>9040.9838104482005</v>
      </c>
      <c r="E168" s="242">
        <f t="shared" si="43"/>
        <v>13097.372207480172</v>
      </c>
      <c r="F168" s="242">
        <f t="shared" si="43"/>
        <v>9040.9838104482005</v>
      </c>
      <c r="G168" s="242">
        <f t="shared" si="43"/>
        <v>9040.9838104482005</v>
      </c>
      <c r="H168" s="242">
        <f t="shared" si="43"/>
        <v>0</v>
      </c>
      <c r="I168" s="242">
        <f t="shared" si="43"/>
        <v>0</v>
      </c>
      <c r="J168" s="242">
        <f t="shared" si="43"/>
        <v>0</v>
      </c>
      <c r="K168" s="246">
        <f t="shared" si="44"/>
        <v>75761.652166855478</v>
      </c>
      <c r="M168" s="68"/>
      <c r="N168" s="68"/>
      <c r="O168" s="215" t="s">
        <v>305</v>
      </c>
      <c r="P168" s="242">
        <f t="shared" si="40"/>
        <v>358316.60849182244</v>
      </c>
      <c r="Q168" s="242">
        <f t="shared" si="41"/>
        <v>233817.21646913316</v>
      </c>
      <c r="R168" s="251">
        <f t="shared" si="45"/>
        <v>124499.39202268928</v>
      </c>
      <c r="S168" s="242">
        <f t="shared" si="42"/>
        <v>36766.516975020801</v>
      </c>
    </row>
    <row r="169" spans="1:22" s="58" customFormat="1" ht="10.5" hidden="1" thickBot="1" x14ac:dyDescent="0.2">
      <c r="A169" s="130" t="s">
        <v>305</v>
      </c>
      <c r="B169" s="249">
        <f t="shared" si="43"/>
        <v>26500.344717582502</v>
      </c>
      <c r="C169" s="249">
        <f t="shared" si="43"/>
        <v>9040.9838104482005</v>
      </c>
      <c r="D169" s="249">
        <f t="shared" si="43"/>
        <v>9040.9838104482005</v>
      </c>
      <c r="E169" s="249">
        <f t="shared" si="43"/>
        <v>13097.372207480172</v>
      </c>
      <c r="F169" s="249">
        <f t="shared" si="43"/>
        <v>9040.9838104482005</v>
      </c>
      <c r="G169" s="249">
        <f t="shared" si="43"/>
        <v>9040.9838104482005</v>
      </c>
      <c r="H169" s="249">
        <f t="shared" si="43"/>
        <v>0</v>
      </c>
      <c r="I169" s="249">
        <f t="shared" si="43"/>
        <v>0</v>
      </c>
      <c r="J169" s="249">
        <f t="shared" si="43"/>
        <v>0</v>
      </c>
      <c r="K169" s="250">
        <f t="shared" si="44"/>
        <v>75761.652166855478</v>
      </c>
      <c r="M169" s="68"/>
      <c r="N169" s="68"/>
      <c r="O169" s="213" t="s">
        <v>287</v>
      </c>
      <c r="Q169" s="84"/>
      <c r="R169" s="84"/>
      <c r="S169" s="68"/>
      <c r="T169" s="68"/>
      <c r="U169" s="68"/>
    </row>
    <row r="170" spans="1:22" s="58" customFormat="1" ht="9.75" hidden="1" x14ac:dyDescent="0.15">
      <c r="E170" s="69"/>
      <c r="L170" s="62"/>
      <c r="M170" s="62"/>
      <c r="N170" s="84"/>
      <c r="O170" s="227" t="s">
        <v>295</v>
      </c>
      <c r="P170" s="86" t="s">
        <v>279</v>
      </c>
      <c r="Q170" s="87" t="s">
        <v>286</v>
      </c>
      <c r="R170" s="86"/>
      <c r="S170" s="86"/>
    </row>
    <row r="171" spans="1:22" s="58" customFormat="1" ht="9.75" hidden="1" x14ac:dyDescent="0.15">
      <c r="A171" s="58" t="s">
        <v>238</v>
      </c>
      <c r="B171" s="63" t="s">
        <v>122</v>
      </c>
      <c r="C171" s="63">
        <f>$B$92*(1+$F$81+0.25)+$B$91*$J$95</f>
        <v>6179.2999999999993</v>
      </c>
      <c r="J171" s="69"/>
      <c r="N171" s="68"/>
      <c r="O171" s="227">
        <v>25</v>
      </c>
      <c r="P171" s="207">
        <f>QUOTIENT(O171,SUM(B19:J23)/(COUNTIF($B$18:$J$18,"&lt;&gt;无")+COUNTIF($B$20:$J$20,"&lt;&gt;无")+COUNTIF($B$22:$J$22,"&lt;&gt;无")))</f>
        <v>15</v>
      </c>
      <c r="Q171" s="86">
        <f>QUOTIENT($O$171,$S$111)</f>
        <v>9</v>
      </c>
      <c r="R171" s="86"/>
      <c r="S171" s="86"/>
    </row>
    <row r="172" spans="1:22" s="58" customFormat="1" ht="9.75" hidden="1" x14ac:dyDescent="0.15">
      <c r="A172" s="137" t="s">
        <v>229</v>
      </c>
      <c r="B172" s="86" t="s">
        <v>13</v>
      </c>
      <c r="C172" s="86" t="s">
        <v>59</v>
      </c>
      <c r="D172" s="86" t="s">
        <v>206</v>
      </c>
      <c r="E172" s="86" t="s">
        <v>93</v>
      </c>
      <c r="F172" s="86" t="s">
        <v>10</v>
      </c>
      <c r="G172" s="119" t="s">
        <v>138</v>
      </c>
      <c r="H172" s="119" t="s">
        <v>98</v>
      </c>
      <c r="I172" s="119" t="s">
        <v>99</v>
      </c>
      <c r="J172" s="97" t="s">
        <v>139</v>
      </c>
      <c r="K172" s="119" t="s">
        <v>17</v>
      </c>
      <c r="L172" s="119" t="s">
        <v>140</v>
      </c>
      <c r="M172" s="86" t="s">
        <v>141</v>
      </c>
      <c r="N172" s="93" t="s">
        <v>171</v>
      </c>
      <c r="O172" s="215" t="s">
        <v>288</v>
      </c>
      <c r="P172" s="86" t="s">
        <v>293</v>
      </c>
      <c r="Q172" s="86" t="s">
        <v>291</v>
      </c>
      <c r="R172" s="87" t="s">
        <v>292</v>
      </c>
      <c r="S172" s="86" t="s">
        <v>294</v>
      </c>
    </row>
    <row r="173" spans="1:22" s="58" customFormat="1" ht="9.75" hidden="1" x14ac:dyDescent="0.15">
      <c r="A173" s="86" t="s">
        <v>172</v>
      </c>
      <c r="B173" s="242">
        <f>(($C$171*B$105+B$104)*(1+B$109)*$I119)*((MIN((1-MAX($C119-MAX($B$94+B$106,0.92),0)-$H119),$B$95+B$107+0.25))*(MIN($B$96+B$108+0.25,3)-1)+($H119*0.25)+(1-MAX($C119-MAX($B$94+B$106,0.92),0)-$H119))*(1+$Q$81)</f>
        <v>11380.48284227964</v>
      </c>
      <c r="C173" s="242">
        <f t="shared" ref="C173:E173" si="46">(($C$171*C$105+C$104)*(1+C$109)*$I119)*((MIN((1-MAX($C119-MAX($B$94+C$106,0.92),0)-$H119),$B$95+C$107+0.25))*(MIN($B$96+C$108+0.25,3)-1)+($H119*0.25)+(1-MAX($C119-MAX($B$94+C$106,0.92),0)-$H119))*(1+$Q$81)</f>
        <v>19228.617782757956</v>
      </c>
      <c r="D173" s="242">
        <f t="shared" si="46"/>
        <v>2297.5860410185937</v>
      </c>
      <c r="E173" s="242">
        <f t="shared" si="46"/>
        <v>27945.76773303291</v>
      </c>
      <c r="F173" s="242">
        <f>(($C$171*F$105+F$104)*(1+F$109)*$I119)*((MIN((1-MAX($C119-MAX($B$94+F$106,0.92),0)-$H119),$B$95+F$107+0.25))*(MIN($B$96+F$108+0.25,3)-1)+($H119*0.25)+(1-MAX($C119-MAX($B$94+F$106,0.92),0)-$H119))*(1+$Q$81+$F$110)</f>
        <v>31519.755306018869</v>
      </c>
      <c r="G173" s="244">
        <f>(($C$171*G$105+G$104)*(1+G$109)*$I119)*((MIN((1-MAX($C119-MAX($B$94+G$106,0.92),0)-$H119),$B$95+G$107+0.25))*(MIN($B$96+G$108+0.25,3)-1)+($H119*0.25)+(1-MAX($C119-MAX($B$94+G$106,0.92),0)-$H119))*(1+$Q$81+$F$110+G$110)</f>
        <v>39321.964991943103</v>
      </c>
      <c r="H173" s="244">
        <f t="shared" ref="H173:I173" si="47">(($C$171*H$105+H$104)*(1+H$109)*$I119)*((MIN((1-MAX($C119-MAX($B$94+H$106,0.92),0)-$H119),$B$95+H$107+0.25))*(MIN($B$96+H$108+0.25,3)-1)+($H119*0.25)+(1-MAX($C119-MAX($B$94+H$106,0.92),0)-$H119))*(1+$Q$81+$F$110+H$110)</f>
        <v>48128.013569439368</v>
      </c>
      <c r="I173" s="244">
        <f t="shared" si="47"/>
        <v>56967.88675123523</v>
      </c>
      <c r="J173" s="251">
        <f>(($C$171*J$105+J$104)*(1+J$109)*$I119)*((MIN((1-MAX($C119-MAX($B$94+J$106,0.92),0)-$H119),$B$95+J$107+0.25))*(MIN($B$96+J$108+0.25,3)-1)+($H119*0.25)+(1-MAX($C119-MAX($B$94+J$106,0.92),0)-$H119))*(1+$Q$81)*($I$11="剑出鸿蒙")</f>
        <v>6767.8831165136835</v>
      </c>
      <c r="K173" s="244">
        <f>(($C$171*K$105+K$104)*(1+K$109)*$I119)*((MIN((1-$H119),$B$95+K$107+0.25))*(MIN($B$96+K$108+0.25,3)-1)+($H119*0.25)+(1-$H119))*(1+$Q$81)*($F$11="气竭")</f>
        <v>4841.1566308158344</v>
      </c>
      <c r="L173" s="242">
        <f>(($B$93*L$105+L$104)*(1+L$109)*$I119)*((MIN((1-$H119),$B$95+L$107))*(MIN($B$96+L$108,3)-1)+($H119*0.25)+(1-$H119))*(1+$Q$81)</f>
        <v>1002.5618514311052</v>
      </c>
      <c r="M173" s="242">
        <f>(($B$93*M$105+M$104)*(1+M$109)*$I119)*((MIN((1-$H119),$B$95+M$107))*(MIN($B$96+M$108,3)-1)+($H119*0.25)+(1-$H119))*(1+$Q$81)</f>
        <v>5210.6726274982439</v>
      </c>
      <c r="N173" s="245">
        <v>0</v>
      </c>
      <c r="O173" s="241" t="s">
        <v>18</v>
      </c>
      <c r="P173" s="242">
        <f>M222+M229+M236+M243</f>
        <v>341062.43267912802</v>
      </c>
      <c r="Q173" s="242">
        <f>N222+N229+N236+N243</f>
        <v>225393.2891056175</v>
      </c>
      <c r="R173" s="242">
        <f>P173-Q173</f>
        <v>115669.14357351052</v>
      </c>
      <c r="S173" s="242">
        <f>$P$182*($K173-$K128)+$Q$182*2*($K173-$K128)+$R$182*3*($K173-$K128)+($Q$171-SUM(P$182:$R$182))*3*($K173-$K128)</f>
        <v>30139.451406486049</v>
      </c>
    </row>
    <row r="174" spans="1:22" s="58" customFormat="1" ht="9.75" hidden="1" x14ac:dyDescent="0.15">
      <c r="A174" s="86" t="s">
        <v>173</v>
      </c>
      <c r="B174" s="242">
        <f t="shared" ref="B174:E174" si="48">(($C$171*B$105+B$104)*(1+B$109)*$I120)*((MIN((1-MAX($C120-MAX($B$94+B$106,0.92),0)-$H120),$B$95+B$107+0.25))*(MIN($B$96+B$108+0.25,3)-1)+($H120*0.25)+(1-MAX($C120-MAX($B$94+B$106,0.92),0)-$H120))*(1+$Q$81)</f>
        <v>10040.789697151875</v>
      </c>
      <c r="C174" s="242">
        <f t="shared" si="48"/>
        <v>16965.054119348177</v>
      </c>
      <c r="D174" s="242">
        <f t="shared" si="48"/>
        <v>2027.1177039407903</v>
      </c>
      <c r="E174" s="242">
        <f t="shared" si="48"/>
        <v>24656.034425041078</v>
      </c>
      <c r="F174" s="242">
        <f t="shared" ref="F174:F179" si="49">(($C$171*F$105+F$104)*(1+F$109)*$I120)*((MIN((1-MAX($C120-MAX($B$94+F$106,0.92),0)-$H120),$B$95+F$107+0.25))*(MIN($B$96+F$108+0.25,3)-1)+($H120*0.25)+(1-MAX($C120-MAX($B$94+F$106,0.92),0)-$H120))*(1+$Q$81+$F$110)</f>
        <v>27809.297612369777</v>
      </c>
      <c r="G174" s="244">
        <f t="shared" ref="G174:I178" si="50">(($C$171*G$105+G$104)*(1+G$109)*$I120)*((MIN((1-MAX($C120-MAX($B$94+G$106,0.92),0)-$H120),$B$95+G$107+0.25))*(MIN($B$96+G$108+0.25,3)-1)+($H120*0.25)+(1-MAX($C120-MAX($B$94+G$106,0.92),0)-$H120))*(1+$Q$81+$F$110+G$110)</f>
        <v>34693.043031184905</v>
      </c>
      <c r="H174" s="244">
        <f t="shared" si="50"/>
        <v>42462.456952803012</v>
      </c>
      <c r="I174" s="244">
        <f t="shared" si="50"/>
        <v>50261.713697706255</v>
      </c>
      <c r="J174" s="251">
        <f t="shared" ref="J174:J179" si="51">(($C$171*J$105+J$104)*(1+J$109)*$I120)*((MIN((1-MAX($C120-MAX($B$94+J$106,0.92),0)-$H120),$B$95+J$107+0.25))*(MIN($B$96+J$108+0.25,3)-1)+($H120*0.25)+(1-MAX($C120-MAX($B$94+J$106,0.92),0)-$H120))*(1+$Q$81)*($I$11="剑出鸿蒙")</f>
        <v>5971.1782012762633</v>
      </c>
      <c r="K174" s="244">
        <f t="shared" ref="K174:K179" si="52">(($C$171*K$105+K$104)*(1+K$109)*$I120)*((MIN((1-$H120),$B$95+K$107+0.25))*(MIN($B$96+K$108+0.25,3)-1)+($H120*0.25)+(1-$H120))*(1+$Q$81)*($F$11="气竭")</f>
        <v>4271.2630294038718</v>
      </c>
      <c r="L174" s="242">
        <f t="shared" ref="L174:M179" si="53">(($B$93*L$105+L$104)*(1+L$109)*$I120)*((MIN((1-$H120),$B$95+L$107))*(MIN($B$96+L$108,3)-1)+($H120*0.25)+(1-$H120))*(1+$Q$81)</f>
        <v>884.54179388670957</v>
      </c>
      <c r="M174" s="242">
        <f t="shared" si="53"/>
        <v>4597.2801645150157</v>
      </c>
      <c r="N174" s="245">
        <v>0</v>
      </c>
      <c r="O174" s="241" t="s">
        <v>19</v>
      </c>
      <c r="P174" s="242">
        <f t="shared" ref="P174:P179" si="54">M223+M230+M237+M244</f>
        <v>300913.08142108412</v>
      </c>
      <c r="Q174" s="242">
        <f t="shared" ref="Q174:Q179" si="55">N223+N230+N237+N244</f>
        <v>198860.33364516971</v>
      </c>
      <c r="R174" s="242">
        <f t="shared" ref="R174:R179" si="56">P174-Q174</f>
        <v>102052.74777591441</v>
      </c>
      <c r="S174" s="242">
        <f>$P$182*($K174-$K129)+$Q$182*2*($K174-$K129)+$R$182*3*($K174-$K129)+($Q$171-SUM(P$182:$R$182))*3*($K174-$K129)</f>
        <v>26591.480990224467</v>
      </c>
    </row>
    <row r="175" spans="1:22" s="58" customFormat="1" ht="9.75" hidden="1" x14ac:dyDescent="0.15">
      <c r="A175" s="86" t="s">
        <v>174</v>
      </c>
      <c r="B175" s="242">
        <f t="shared" ref="B175:E175" si="57">(($C$171*B$105+B$104)*(1+B$109)*$I121)*((MIN((1-MAX($C121-MAX($B$94+B$106,0.92),0)-$H121),$B$95+B$107+0.25))*(MIN($B$96+B$108+0.25,3)-1)+($H121*0.25)+(1-MAX($C121-MAX($B$94+B$106,0.92),0)-$H121))*(1+$Q$81)</f>
        <v>8617.2243672092554</v>
      </c>
      <c r="C175" s="242">
        <f t="shared" si="57"/>
        <v>14577.242128738255</v>
      </c>
      <c r="D175" s="242">
        <f t="shared" si="57"/>
        <v>1739.7165562141774</v>
      </c>
      <c r="E175" s="242">
        <f t="shared" si="57"/>
        <v>21181.65603907737</v>
      </c>
      <c r="F175" s="242">
        <f t="shared" si="49"/>
        <v>23884.129951243889</v>
      </c>
      <c r="G175" s="244">
        <f t="shared" si="50"/>
        <v>29796.263095560651</v>
      </c>
      <c r="H175" s="244">
        <f t="shared" si="50"/>
        <v>36469.056286367071</v>
      </c>
      <c r="I175" s="244">
        <f t="shared" si="50"/>
        <v>43167.480109035874</v>
      </c>
      <c r="J175" s="251">
        <f t="shared" si="51"/>
        <v>5122.9658311670137</v>
      </c>
      <c r="K175" s="244">
        <f t="shared" si="52"/>
        <v>3701.5020662423808</v>
      </c>
      <c r="L175" s="242">
        <f t="shared" si="53"/>
        <v>766.54920458184927</v>
      </c>
      <c r="M175" s="242">
        <f t="shared" si="53"/>
        <v>3984.0304637999402</v>
      </c>
      <c r="N175" s="245">
        <v>0</v>
      </c>
      <c r="O175" s="241" t="s">
        <v>20</v>
      </c>
      <c r="P175" s="242">
        <f t="shared" si="54"/>
        <v>258486.32886958146</v>
      </c>
      <c r="Q175" s="242">
        <f t="shared" si="55"/>
        <v>170337.66839717186</v>
      </c>
      <c r="R175" s="242">
        <f t="shared" si="56"/>
        <v>88148.660472409596</v>
      </c>
      <c r="S175" s="242">
        <f>$P$182*($K175-$K130)+$Q$182*2*($K175-$K130)+$R$182*3*($K175-$K130)+($Q$171-SUM(P$182:$R$182))*3*($K175-$K130)</f>
        <v>23044.336336153527</v>
      </c>
    </row>
    <row r="176" spans="1:22" s="58" customFormat="1" ht="9.75" hidden="1" x14ac:dyDescent="0.15">
      <c r="A176" s="86" t="s">
        <v>298</v>
      </c>
      <c r="B176" s="242">
        <f t="shared" ref="B176:E176" si="58">(($C$171*B$105+B$104)*(1+B$109)*$I122)*((MIN((1-MAX($C122-MAX($B$94+B$106,0.92),0)-$H122),$B$95+B$107+0.25))*(MIN($B$96+B$108+0.25,3)-1)+($H122*0.25)+(1-MAX($C122-MAX($B$94+B$106,0.92),0)-$H122))*(1+$Q$81)</f>
        <v>6068.8346636223332</v>
      </c>
      <c r="C176" s="242">
        <f t="shared" si="58"/>
        <v>10324.787587751334</v>
      </c>
      <c r="D176" s="242">
        <f t="shared" si="58"/>
        <v>1225.2265568721132</v>
      </c>
      <c r="E176" s="242">
        <f t="shared" si="58"/>
        <v>14988.95269752965</v>
      </c>
      <c r="F176" s="242">
        <f t="shared" si="49"/>
        <v>16879.73851308685</v>
      </c>
      <c r="G176" s="244">
        <f t="shared" si="50"/>
        <v>21058.046943594425</v>
      </c>
      <c r="H176" s="244">
        <f t="shared" si="50"/>
        <v>25773.940067716903</v>
      </c>
      <c r="I176" s="244">
        <f t="shared" si="50"/>
        <v>30507.94724349818</v>
      </c>
      <c r="J176" s="251">
        <f t="shared" si="51"/>
        <v>3602.4820622107268</v>
      </c>
      <c r="K176" s="244">
        <f t="shared" si="52"/>
        <v>2604.1431380769159</v>
      </c>
      <c r="L176" s="242">
        <f t="shared" si="53"/>
        <v>530.81311236311819</v>
      </c>
      <c r="M176" s="242">
        <f t="shared" si="53"/>
        <v>2758.8256534591651</v>
      </c>
      <c r="N176" s="245">
        <v>0</v>
      </c>
      <c r="O176" s="241" t="s">
        <v>298</v>
      </c>
      <c r="P176" s="242">
        <f t="shared" si="54"/>
        <v>182834.82053674277</v>
      </c>
      <c r="Q176" s="242">
        <f t="shared" si="55"/>
        <v>118862.51132546531</v>
      </c>
      <c r="R176" s="242">
        <f t="shared" si="56"/>
        <v>63972.309211277461</v>
      </c>
      <c r="S176" s="242">
        <f>$P$182*($K176-$K131)+$Q$182*2*($K176-$K131)+$R$182*3*($K176-$K131)+($Q$171-SUM(P$182:$R$182))*3*($K176-$K131)</f>
        <v>16694.819010722578</v>
      </c>
    </row>
    <row r="177" spans="1:22" s="58" customFormat="1" ht="9.75" hidden="1" x14ac:dyDescent="0.15">
      <c r="A177" s="86" t="s">
        <v>301</v>
      </c>
      <c r="B177" s="242">
        <f t="shared" ref="B177:E177" si="59">(($C$171*B$105+B$104)*(1+B$109)*$I123)*((MIN((1-MAX($C123-MAX($B$94+B$106,0.92),0)-$H123),$B$95+B$107+0.25))*(MIN($B$96+B$108+0.25,3)-1)+($H123*0.25)+(1-MAX($C123-MAX($B$94+B$106,0.92),0)-$H123))*(1+$Q$81)</f>
        <v>8111.2408192688426</v>
      </c>
      <c r="C177" s="242">
        <f t="shared" si="59"/>
        <v>13767.642719243982</v>
      </c>
      <c r="D177" s="242">
        <f t="shared" si="59"/>
        <v>1637.5644109278633</v>
      </c>
      <c r="E177" s="242">
        <f t="shared" si="59"/>
        <v>19994.469897408319</v>
      </c>
      <c r="F177" s="242">
        <f t="shared" si="49"/>
        <v>22528.375065412303</v>
      </c>
      <c r="G177" s="244">
        <f t="shared" si="50"/>
        <v>28104.912841069763</v>
      </c>
      <c r="H177" s="244">
        <f t="shared" si="50"/>
        <v>34398.932679484991</v>
      </c>
      <c r="I177" s="244">
        <f t="shared" si="50"/>
        <v>40717.128256725038</v>
      </c>
      <c r="J177" s="251">
        <f t="shared" si="51"/>
        <v>4817.8332969089906</v>
      </c>
      <c r="K177" s="244">
        <f t="shared" si="52"/>
        <v>3482.0148750694375</v>
      </c>
      <c r="L177" s="242">
        <f t="shared" si="53"/>
        <v>714.37602474733865</v>
      </c>
      <c r="M177" s="242">
        <f t="shared" si="53"/>
        <v>3712.8677822505028</v>
      </c>
      <c r="N177" s="245">
        <v>0</v>
      </c>
      <c r="O177" s="241" t="s">
        <v>301</v>
      </c>
      <c r="P177" s="242">
        <f t="shared" si="54"/>
        <v>243935.33663126931</v>
      </c>
      <c r="Q177" s="242">
        <f t="shared" si="55"/>
        <v>159463.81876365154</v>
      </c>
      <c r="R177" s="242">
        <f t="shared" si="56"/>
        <v>84471.517867617775</v>
      </c>
      <c r="S177" s="242">
        <f>$P$182*($K177-$K132)+$Q$182*2*($K177-$K132)+$R$182*3*($K177-$K132)+($Q$171-SUM(P$182:$R$182))*3*($K177-$K132)</f>
        <v>22059.910185012479</v>
      </c>
    </row>
    <row r="178" spans="1:22" s="58" customFormat="1" ht="9.75" hidden="1" x14ac:dyDescent="0.15">
      <c r="A178" s="86" t="s">
        <v>303</v>
      </c>
      <c r="B178" s="242">
        <f t="shared" ref="B178:E178" si="60">(($C$171*B$105+B$104)*(1+B$109)*$I124)*((MIN((1-MAX($C124-MAX($B$94+B$106,0.92),0)-$H124),$B$95+B$107+0.25))*(MIN($B$96+B$108+0.25,3)-1)+($H124*0.25)+(1-MAX($C124-MAX($B$94+B$106,0.92),0)-$H124))*(1+$Q$81)</f>
        <v>8111.2408192688426</v>
      </c>
      <c r="C178" s="242">
        <f t="shared" si="60"/>
        <v>13767.642719243982</v>
      </c>
      <c r="D178" s="242">
        <f t="shared" si="60"/>
        <v>1637.5644109278633</v>
      </c>
      <c r="E178" s="242">
        <f t="shared" si="60"/>
        <v>19994.469897408319</v>
      </c>
      <c r="F178" s="242">
        <f t="shared" si="49"/>
        <v>22528.375065412303</v>
      </c>
      <c r="G178" s="244">
        <f t="shared" si="50"/>
        <v>28104.912841069763</v>
      </c>
      <c r="H178" s="244">
        <f t="shared" si="50"/>
        <v>34398.932679484991</v>
      </c>
      <c r="I178" s="244">
        <f t="shared" si="50"/>
        <v>40717.128256725038</v>
      </c>
      <c r="J178" s="251">
        <f t="shared" si="51"/>
        <v>4817.8332969089906</v>
      </c>
      <c r="K178" s="244">
        <f t="shared" si="52"/>
        <v>3482.0148750694375</v>
      </c>
      <c r="L178" s="242">
        <f t="shared" si="53"/>
        <v>714.37602474733865</v>
      </c>
      <c r="M178" s="242">
        <f t="shared" si="53"/>
        <v>3712.8677822505028</v>
      </c>
      <c r="N178" s="245">
        <v>0</v>
      </c>
      <c r="O178" s="241" t="s">
        <v>303</v>
      </c>
      <c r="P178" s="242">
        <f t="shared" si="54"/>
        <v>243935.33663126931</v>
      </c>
      <c r="Q178" s="242">
        <f t="shared" si="55"/>
        <v>159463.81876365154</v>
      </c>
      <c r="R178" s="242">
        <f t="shared" si="56"/>
        <v>84471.517867617775</v>
      </c>
      <c r="S178" s="242">
        <f>$P$182*($K178-$K133)+$Q$182*2*($K178-$K133)+$R$182*3*($K178-$K133)+($Q$171-SUM(P$182:$R$182))*3*($K178-$K133)</f>
        <v>22059.910185012479</v>
      </c>
    </row>
    <row r="179" spans="1:22" s="58" customFormat="1" ht="9.75" hidden="1" x14ac:dyDescent="0.15">
      <c r="A179" s="86" t="s">
        <v>305</v>
      </c>
      <c r="B179" s="242">
        <f t="shared" ref="B179:E179" si="61">(($C$171*B$105+B$104)*(1+B$109)*$I125)*((MIN((1-MAX($C125-MAX($B$94+B$106,0.92),0)-$H125),$B$95+B$107+0.25))*(MIN($B$96+B$108+0.25,3)-1)+($H125*0.25)+(1-MAX($C125-MAX($B$94+B$106,0.92),0)-$H125))*(1+$Q$81)</f>
        <v>8111.2408192688426</v>
      </c>
      <c r="C179" s="242">
        <f t="shared" si="61"/>
        <v>13767.642719243982</v>
      </c>
      <c r="D179" s="242">
        <f t="shared" si="61"/>
        <v>1637.5644109278633</v>
      </c>
      <c r="E179" s="242">
        <f t="shared" si="61"/>
        <v>19994.469897408319</v>
      </c>
      <c r="F179" s="242">
        <f t="shared" si="49"/>
        <v>22528.375065412303</v>
      </c>
      <c r="G179" s="244">
        <f>(($C$171*G$105+G$104)*(1+G$109)*$I125)*((MIN((1-MAX($C125-MAX($B$94+G$106,0.92),0)-$H125),$B$95+G$107+0.25))*(MIN($B$96+G$108+0.25,3)-1)+($H125*0.25)+(1-MAX($C125-MAX($B$94+G$106,0.92),0)-$H125))*(1+$Q$81+$F$110+G$110)</f>
        <v>28104.912841069763</v>
      </c>
      <c r="H179" s="244">
        <f t="shared" ref="H179:I179" si="62">(($C$171*H$105+H$104)*(1+H$109)*$I125)*((MIN((1-MAX($C125-MAX($B$94+H$106,0.92),0)-$H125),$B$95+H$107+0.25))*(MIN($B$96+H$108+0.25,3)-1)+($H125*0.25)+(1-MAX($C125-MAX($B$94+H$106,0.92),0)-$H125))*(1+$Q$81+$F$110+H$110)</f>
        <v>34398.932679484991</v>
      </c>
      <c r="I179" s="244">
        <f t="shared" si="62"/>
        <v>40717.128256725038</v>
      </c>
      <c r="J179" s="251">
        <f t="shared" si="51"/>
        <v>4817.8332969089906</v>
      </c>
      <c r="K179" s="244">
        <f t="shared" si="52"/>
        <v>3482.0148750694375</v>
      </c>
      <c r="L179" s="242">
        <f t="shared" si="53"/>
        <v>714.37602474733865</v>
      </c>
      <c r="M179" s="242">
        <f t="shared" si="53"/>
        <v>3712.8677822505028</v>
      </c>
      <c r="N179" s="245">
        <v>0</v>
      </c>
      <c r="O179" s="241" t="s">
        <v>305</v>
      </c>
      <c r="P179" s="242">
        <f t="shared" si="54"/>
        <v>243935.33663126931</v>
      </c>
      <c r="Q179" s="242">
        <f t="shared" si="55"/>
        <v>159463.81876365154</v>
      </c>
      <c r="R179" s="242">
        <f t="shared" si="56"/>
        <v>84471.517867617775</v>
      </c>
      <c r="S179" s="242">
        <f>$P$182*($K179-$K134)+$Q$182*2*($K179-$K134)+$R$182*3*($K179-$K134)+($Q$171-SUM(P$182:$R$182))*3*($K179-$K134)</f>
        <v>22059.910185012479</v>
      </c>
    </row>
    <row r="180" spans="1:22" s="58" customFormat="1" ht="9.75" hidden="1" x14ac:dyDescent="0.15">
      <c r="N180" s="68"/>
      <c r="O180" s="230" t="s">
        <v>244</v>
      </c>
      <c r="U180" s="68"/>
    </row>
    <row r="181" spans="1:22" s="58" customFormat="1" ht="9.75" hidden="1" x14ac:dyDescent="0.15">
      <c r="A181" s="95" t="s">
        <v>226</v>
      </c>
      <c r="B181" s="77" t="s">
        <v>177</v>
      </c>
      <c r="C181" s="78">
        <f>SUM($B$25:$J$25)</f>
        <v>9.302999999999999</v>
      </c>
      <c r="D181" s="86"/>
      <c r="E181" s="86"/>
      <c r="F181" s="86"/>
      <c r="G181" s="86"/>
      <c r="H181" s="77" t="s">
        <v>179</v>
      </c>
      <c r="I181" s="78">
        <f>SUM($B$25:$J$25)</f>
        <v>9.302999999999999</v>
      </c>
      <c r="J181" s="115">
        <f>QUOTIENT($I$181,INDEX($O$108:$T$111,MATCH(MIN(COUNTIF($B$18:$J$22,"=太极")+COUNTIF($B$24:B24,"=太极"),2),$O$108:$O$111,0),5))</f>
        <v>3</v>
      </c>
      <c r="K181" s="86" t="s">
        <v>180</v>
      </c>
      <c r="N181" s="68"/>
      <c r="O181" s="215" t="s">
        <v>245</v>
      </c>
      <c r="P181" s="86" t="s">
        <v>248</v>
      </c>
      <c r="Q181" s="86" t="s">
        <v>247</v>
      </c>
      <c r="R181" s="86" t="s">
        <v>246</v>
      </c>
      <c r="S181" s="86" t="s">
        <v>285</v>
      </c>
      <c r="T181" s="68"/>
    </row>
    <row r="182" spans="1:22" s="58" customFormat="1" ht="9.75" hidden="1" x14ac:dyDescent="0.15">
      <c r="A182" s="86" t="s">
        <v>165</v>
      </c>
      <c r="B182" s="242">
        <f t="shared" ref="B182:J188" si="63">INDEX($A$172:$N$179,MATCH($A182,$A$172:$A$179,0),MATCH(B$24,$A$172:$N$172,0))</f>
        <v>56967.88675123523</v>
      </c>
      <c r="C182" s="242">
        <f t="shared" si="63"/>
        <v>19228.617782757956</v>
      </c>
      <c r="D182" s="242">
        <f t="shared" si="63"/>
        <v>19228.617782757956</v>
      </c>
      <c r="E182" s="242">
        <f t="shared" si="63"/>
        <v>27945.76773303291</v>
      </c>
      <c r="F182" s="242">
        <f t="shared" si="63"/>
        <v>19228.617782757956</v>
      </c>
      <c r="G182" s="242">
        <f t="shared" si="63"/>
        <v>19228.617782757956</v>
      </c>
      <c r="H182" s="242">
        <f t="shared" si="63"/>
        <v>0</v>
      </c>
      <c r="I182" s="242">
        <f t="shared" si="63"/>
        <v>0</v>
      </c>
      <c r="J182" s="242">
        <f t="shared" si="63"/>
        <v>0</v>
      </c>
      <c r="K182" s="246">
        <f t="shared" ref="K182:K188" si="64">SUM(B182:J182)</f>
        <v>161828.12561529997</v>
      </c>
      <c r="N182" s="68"/>
      <c r="O182" s="223">
        <f>QUOTIENT(($N$18-$B$19),INDEX($O$108:$T$111,MATCH(MIN(COUNTIF($B$18:$J$22,"=太极"),2),$O$108:$O$111,0),5))</f>
        <v>89</v>
      </c>
      <c r="P182" s="124">
        <f>QUOTIENT(SUM($C$19:$J$19)+$B$21,$S$109)</f>
        <v>3</v>
      </c>
      <c r="Q182" s="124">
        <f>QUOTIENT(SUM($C$21:$J$21)+$B$23,INDEX($O$108:$T$111,MATCH(MIN(COUNTIF($B$18:$J$18,"=太极"),2),$O$108:$O$111,0),5))</f>
        <v>3</v>
      </c>
      <c r="R182" s="124">
        <f>QUOTIENT(SUM($C$21:$J$21)+$B$23,INDEX($O$108:$T$111,MATCH(MIN(COUNTIF($B$18:$J$20,"=太极"),2),$O$108:$O$111,0),5))</f>
        <v>3</v>
      </c>
      <c r="S182" s="124">
        <f>O182-P182-Q182-R182</f>
        <v>80</v>
      </c>
      <c r="T182" s="68"/>
    </row>
    <row r="183" spans="1:22" s="58" customFormat="1" ht="9.75" hidden="1" x14ac:dyDescent="0.15">
      <c r="A183" s="86" t="s">
        <v>166</v>
      </c>
      <c r="B183" s="242">
        <f t="shared" si="63"/>
        <v>50261.713697706255</v>
      </c>
      <c r="C183" s="242">
        <f t="shared" si="63"/>
        <v>16965.054119348177</v>
      </c>
      <c r="D183" s="242">
        <f t="shared" si="63"/>
        <v>16965.054119348177</v>
      </c>
      <c r="E183" s="242">
        <f t="shared" si="63"/>
        <v>24656.034425041078</v>
      </c>
      <c r="F183" s="242">
        <f t="shared" si="63"/>
        <v>16965.054119348177</v>
      </c>
      <c r="G183" s="242">
        <f t="shared" si="63"/>
        <v>16965.054119348177</v>
      </c>
      <c r="H183" s="242">
        <f t="shared" si="63"/>
        <v>0</v>
      </c>
      <c r="I183" s="242">
        <f t="shared" si="63"/>
        <v>0</v>
      </c>
      <c r="J183" s="242">
        <f t="shared" si="63"/>
        <v>0</v>
      </c>
      <c r="K183" s="246">
        <f t="shared" si="64"/>
        <v>142777.96460014005</v>
      </c>
      <c r="L183" s="243"/>
      <c r="N183" s="68"/>
      <c r="O183" s="229" t="s">
        <v>249</v>
      </c>
      <c r="P183" s="122" t="s">
        <v>251</v>
      </c>
      <c r="Q183" s="122" t="s">
        <v>252</v>
      </c>
      <c r="R183" s="122" t="s">
        <v>250</v>
      </c>
      <c r="S183" s="122" t="s">
        <v>296</v>
      </c>
    </row>
    <row r="184" spans="1:22" s="58" customFormat="1" ht="12.75" hidden="1" x14ac:dyDescent="0.15">
      <c r="A184" s="86" t="s">
        <v>167</v>
      </c>
      <c r="B184" s="242">
        <f t="shared" si="63"/>
        <v>43167.480109035874</v>
      </c>
      <c r="C184" s="242">
        <f t="shared" si="63"/>
        <v>14577.242128738255</v>
      </c>
      <c r="D184" s="242">
        <f t="shared" si="63"/>
        <v>14577.242128738255</v>
      </c>
      <c r="E184" s="242">
        <f t="shared" si="63"/>
        <v>21181.65603907737</v>
      </c>
      <c r="F184" s="242">
        <f t="shared" si="63"/>
        <v>14577.242128738255</v>
      </c>
      <c r="G184" s="242">
        <f t="shared" si="63"/>
        <v>14577.242128738255</v>
      </c>
      <c r="H184" s="242">
        <f t="shared" si="63"/>
        <v>0</v>
      </c>
      <c r="I184" s="242">
        <f t="shared" si="63"/>
        <v>0</v>
      </c>
      <c r="J184" s="242">
        <f t="shared" si="63"/>
        <v>0</v>
      </c>
      <c r="K184" s="246">
        <f t="shared" si="64"/>
        <v>122658.10466306627</v>
      </c>
      <c r="N184" s="68"/>
      <c r="O184" s="215" t="s">
        <v>18</v>
      </c>
      <c r="P184" s="242">
        <f t="shared" ref="P184:P190" si="65">$P$182*$K128</f>
        <v>9500.2279913664952</v>
      </c>
      <c r="Q184" s="242">
        <f t="shared" ref="Q184:Q190" si="66">$Q$182*$K128*2</f>
        <v>19000.45598273299</v>
      </c>
      <c r="R184" s="242">
        <f t="shared" ref="R184:R190" si="67">$R$182*$K128*3</f>
        <v>28500.683974099484</v>
      </c>
      <c r="S184" s="242">
        <f t="shared" ref="S184:S190" si="68">$S$182*$K128*3</f>
        <v>760018.23930931953</v>
      </c>
      <c r="V184" s="88"/>
    </row>
    <row r="185" spans="1:22" s="58" customFormat="1" ht="12.75" hidden="1" x14ac:dyDescent="0.15">
      <c r="A185" s="86" t="s">
        <v>298</v>
      </c>
      <c r="B185" s="242">
        <f t="shared" si="63"/>
        <v>30507.94724349818</v>
      </c>
      <c r="C185" s="242">
        <f t="shared" si="63"/>
        <v>10324.787587751334</v>
      </c>
      <c r="D185" s="242">
        <f t="shared" si="63"/>
        <v>10324.787587751334</v>
      </c>
      <c r="E185" s="242">
        <f t="shared" si="63"/>
        <v>14988.95269752965</v>
      </c>
      <c r="F185" s="242">
        <f t="shared" si="63"/>
        <v>10324.787587751334</v>
      </c>
      <c r="G185" s="242">
        <f t="shared" si="63"/>
        <v>10324.787587751334</v>
      </c>
      <c r="H185" s="242">
        <f t="shared" si="63"/>
        <v>0</v>
      </c>
      <c r="I185" s="242">
        <f t="shared" si="63"/>
        <v>0</v>
      </c>
      <c r="J185" s="242">
        <f t="shared" si="63"/>
        <v>0</v>
      </c>
      <c r="K185" s="246">
        <f t="shared" si="64"/>
        <v>86796.050292033164</v>
      </c>
      <c r="N185" s="68"/>
      <c r="O185" s="215" t="s">
        <v>19</v>
      </c>
      <c r="P185" s="242">
        <f t="shared" si="65"/>
        <v>8381.8755898408708</v>
      </c>
      <c r="Q185" s="242">
        <f t="shared" si="66"/>
        <v>16763.751179681742</v>
      </c>
      <c r="R185" s="242">
        <f t="shared" si="67"/>
        <v>25145.626769522612</v>
      </c>
      <c r="S185" s="242">
        <f t="shared" si="68"/>
        <v>670550.04718726967</v>
      </c>
      <c r="V185" s="88"/>
    </row>
    <row r="186" spans="1:22" s="58" customFormat="1" ht="12.75" hidden="1" x14ac:dyDescent="0.15">
      <c r="A186" s="86" t="s">
        <v>301</v>
      </c>
      <c r="B186" s="242">
        <f t="shared" si="63"/>
        <v>40717.128256725038</v>
      </c>
      <c r="C186" s="242">
        <f t="shared" si="63"/>
        <v>13767.642719243982</v>
      </c>
      <c r="D186" s="242">
        <f t="shared" si="63"/>
        <v>13767.642719243982</v>
      </c>
      <c r="E186" s="242">
        <f t="shared" si="63"/>
        <v>19994.469897408319</v>
      </c>
      <c r="F186" s="242">
        <f t="shared" si="63"/>
        <v>13767.642719243982</v>
      </c>
      <c r="G186" s="242">
        <f t="shared" si="63"/>
        <v>13767.642719243982</v>
      </c>
      <c r="H186" s="242">
        <f t="shared" si="63"/>
        <v>0</v>
      </c>
      <c r="I186" s="242">
        <f t="shared" si="63"/>
        <v>0</v>
      </c>
      <c r="J186" s="242">
        <f t="shared" si="63"/>
        <v>0</v>
      </c>
      <c r="K186" s="246">
        <f t="shared" si="64"/>
        <v>115782.1690311093</v>
      </c>
      <c r="N186" s="68"/>
      <c r="O186" s="215" t="s">
        <v>20</v>
      </c>
      <c r="P186" s="242">
        <f t="shared" si="65"/>
        <v>7263.7834760348878</v>
      </c>
      <c r="Q186" s="242">
        <f t="shared" si="66"/>
        <v>14527.566952069776</v>
      </c>
      <c r="R186" s="242">
        <f t="shared" si="67"/>
        <v>21791.350428104663</v>
      </c>
      <c r="S186" s="242">
        <f t="shared" si="68"/>
        <v>581102.67808279092</v>
      </c>
      <c r="V186" s="88"/>
    </row>
    <row r="187" spans="1:22" s="58" customFormat="1" ht="12.75" hidden="1" x14ac:dyDescent="0.15">
      <c r="A187" s="86" t="s">
        <v>303</v>
      </c>
      <c r="B187" s="242">
        <f t="shared" si="63"/>
        <v>40717.128256725038</v>
      </c>
      <c r="C187" s="242">
        <f t="shared" si="63"/>
        <v>13767.642719243982</v>
      </c>
      <c r="D187" s="242">
        <f t="shared" si="63"/>
        <v>13767.642719243982</v>
      </c>
      <c r="E187" s="242">
        <f t="shared" si="63"/>
        <v>19994.469897408319</v>
      </c>
      <c r="F187" s="242">
        <f t="shared" si="63"/>
        <v>13767.642719243982</v>
      </c>
      <c r="G187" s="242">
        <f t="shared" si="63"/>
        <v>13767.642719243982</v>
      </c>
      <c r="H187" s="242">
        <f t="shared" si="63"/>
        <v>0</v>
      </c>
      <c r="I187" s="242">
        <f t="shared" si="63"/>
        <v>0</v>
      </c>
      <c r="J187" s="242">
        <f t="shared" si="63"/>
        <v>0</v>
      </c>
      <c r="K187" s="246">
        <f t="shared" si="64"/>
        <v>115782.1690311093</v>
      </c>
      <c r="N187" s="68"/>
      <c r="O187" s="215" t="s">
        <v>298</v>
      </c>
      <c r="P187" s="242">
        <f t="shared" si="65"/>
        <v>5029.9595791103175</v>
      </c>
      <c r="Q187" s="242">
        <f t="shared" si="66"/>
        <v>10059.919158220635</v>
      </c>
      <c r="R187" s="242">
        <f t="shared" si="67"/>
        <v>15089.878737330953</v>
      </c>
      <c r="S187" s="242">
        <f t="shared" si="68"/>
        <v>402396.76632882538</v>
      </c>
      <c r="V187" s="88"/>
    </row>
    <row r="188" spans="1:22" s="58" customFormat="1" ht="12.75" hidden="1" x14ac:dyDescent="0.15">
      <c r="A188" s="86" t="s">
        <v>305</v>
      </c>
      <c r="B188" s="242">
        <f t="shared" si="63"/>
        <v>40717.128256725038</v>
      </c>
      <c r="C188" s="242">
        <f t="shared" si="63"/>
        <v>13767.642719243982</v>
      </c>
      <c r="D188" s="242">
        <f t="shared" si="63"/>
        <v>13767.642719243982</v>
      </c>
      <c r="E188" s="242">
        <f t="shared" si="63"/>
        <v>19994.469897408319</v>
      </c>
      <c r="F188" s="242">
        <f t="shared" si="63"/>
        <v>13767.642719243982</v>
      </c>
      <c r="G188" s="242">
        <f t="shared" si="63"/>
        <v>13767.642719243982</v>
      </c>
      <c r="H188" s="242">
        <f t="shared" si="63"/>
        <v>0</v>
      </c>
      <c r="I188" s="242">
        <f t="shared" si="63"/>
        <v>0</v>
      </c>
      <c r="J188" s="242">
        <f t="shared" si="63"/>
        <v>0</v>
      </c>
      <c r="K188" s="246">
        <f t="shared" si="64"/>
        <v>115782.1690311093</v>
      </c>
      <c r="N188" s="68"/>
      <c r="O188" s="215" t="s">
        <v>301</v>
      </c>
      <c r="P188" s="242">
        <f t="shared" si="65"/>
        <v>6769.3929277062325</v>
      </c>
      <c r="Q188" s="242">
        <f t="shared" si="66"/>
        <v>13538.785855412465</v>
      </c>
      <c r="R188" s="242">
        <f t="shared" si="67"/>
        <v>20308.178783118696</v>
      </c>
      <c r="S188" s="242">
        <f t="shared" si="68"/>
        <v>541551.43421649863</v>
      </c>
      <c r="V188" s="88"/>
    </row>
    <row r="189" spans="1:22" s="58" customFormat="1" ht="12.75" hidden="1" x14ac:dyDescent="0.15">
      <c r="N189" s="68"/>
      <c r="O189" s="215" t="s">
        <v>303</v>
      </c>
      <c r="P189" s="242">
        <f t="shared" si="65"/>
        <v>6769.3929277062325</v>
      </c>
      <c r="Q189" s="242">
        <f t="shared" si="66"/>
        <v>13538.785855412465</v>
      </c>
      <c r="R189" s="242">
        <f t="shared" si="67"/>
        <v>20308.178783118696</v>
      </c>
      <c r="S189" s="242">
        <f t="shared" si="68"/>
        <v>541551.43421649863</v>
      </c>
      <c r="V189" s="88"/>
    </row>
    <row r="190" spans="1:22" s="58" customFormat="1" ht="12.75" hidden="1" x14ac:dyDescent="0.15">
      <c r="A190" s="138" t="s">
        <v>230</v>
      </c>
      <c r="L190" s="155" t="s">
        <v>227</v>
      </c>
      <c r="M190" s="156"/>
      <c r="N190" s="80"/>
      <c r="O190" s="215" t="s">
        <v>305</v>
      </c>
      <c r="P190" s="242">
        <f t="shared" si="65"/>
        <v>6769.3929277062325</v>
      </c>
      <c r="Q190" s="242">
        <f t="shared" si="66"/>
        <v>13538.785855412465</v>
      </c>
      <c r="R190" s="242">
        <f t="shared" si="67"/>
        <v>20308.178783118696</v>
      </c>
      <c r="S190" s="242">
        <f t="shared" si="68"/>
        <v>541551.43421649863</v>
      </c>
      <c r="V190" s="88"/>
    </row>
    <row r="191" spans="1:22" s="58" customFormat="1" ht="12.75" hidden="1" x14ac:dyDescent="0.15">
      <c r="A191" s="140" t="s">
        <v>282</v>
      </c>
      <c r="B191" s="113">
        <v>1</v>
      </c>
      <c r="C191" s="113">
        <v>2</v>
      </c>
      <c r="D191" s="113">
        <v>3</v>
      </c>
      <c r="E191" s="113">
        <v>4</v>
      </c>
      <c r="F191" s="113">
        <v>5</v>
      </c>
      <c r="G191" s="113">
        <v>6</v>
      </c>
      <c r="H191" s="113">
        <v>7</v>
      </c>
      <c r="I191" s="113">
        <v>8</v>
      </c>
      <c r="J191" s="113">
        <v>9</v>
      </c>
      <c r="K191" s="113">
        <v>0</v>
      </c>
      <c r="L191" s="154">
        <v>0</v>
      </c>
      <c r="M191" s="159">
        <v>0</v>
      </c>
      <c r="N191" s="80"/>
      <c r="O191" s="212"/>
      <c r="Q191" s="68"/>
      <c r="R191" s="68"/>
      <c r="S191" s="68"/>
      <c r="T191" s="68"/>
      <c r="V191" s="88"/>
    </row>
    <row r="192" spans="1:22" s="58" customFormat="1" ht="12.75" hidden="1" x14ac:dyDescent="0.15">
      <c r="A192" s="114" t="s">
        <v>165</v>
      </c>
      <c r="B192" s="252">
        <f>SUM(A$163:$B163)</f>
        <v>37496.555795455555</v>
      </c>
      <c r="C192" s="252">
        <f>SUM($B$163:B163)</f>
        <v>37496.555795455555</v>
      </c>
      <c r="D192" s="252">
        <f>SUM($B$163:C163)</f>
        <v>50254.895495380115</v>
      </c>
      <c r="E192" s="252">
        <f>SUM($B$163:D163)</f>
        <v>63013.235195304675</v>
      </c>
      <c r="F192" s="252">
        <f>SUM($B$163:E163)</f>
        <v>81516.273961141342</v>
      </c>
      <c r="G192" s="252">
        <f>SUM($B$163:F163)</f>
        <v>94274.613661065901</v>
      </c>
      <c r="H192" s="252">
        <f>SUM($B$163:G163)</f>
        <v>107032.95336099046</v>
      </c>
      <c r="I192" s="252">
        <f>SUM($B$163:H163)</f>
        <v>107032.95336099046</v>
      </c>
      <c r="J192" s="252">
        <f>SUM($B$163:I163)</f>
        <v>107032.95336099046</v>
      </c>
      <c r="K192" s="242">
        <v>0</v>
      </c>
      <c r="L192" s="125">
        <f>B207</f>
        <v>1.5505</v>
      </c>
      <c r="M192" s="160">
        <v>1</v>
      </c>
      <c r="N192" s="80"/>
      <c r="O192" s="230" t="s">
        <v>175</v>
      </c>
      <c r="P192" s="84"/>
      <c r="Q192" s="68"/>
      <c r="R192" s="68"/>
      <c r="S192" s="68"/>
      <c r="T192" s="68"/>
      <c r="U192" s="68"/>
      <c r="V192" s="88"/>
    </row>
    <row r="193" spans="1:22" s="58" customFormat="1" ht="12.75" hidden="1" x14ac:dyDescent="0.15">
      <c r="A193" s="114" t="s">
        <v>166</v>
      </c>
      <c r="B193" s="252">
        <f>SUM(A$164:$B164)</f>
        <v>33082.518231210161</v>
      </c>
      <c r="C193" s="252">
        <f>SUM($B$164:B164)</f>
        <v>33082.518231210161</v>
      </c>
      <c r="D193" s="252">
        <f>SUM($B$164:C164)</f>
        <v>44338.965570671688</v>
      </c>
      <c r="E193" s="252">
        <f>SUM($B$164:D164)</f>
        <v>55595.412910133222</v>
      </c>
      <c r="F193" s="252">
        <f>SUM($B$164:E164)</f>
        <v>71920.302071760365</v>
      </c>
      <c r="G193" s="252">
        <f>SUM($B$164:F164)</f>
        <v>83176.749411221899</v>
      </c>
      <c r="H193" s="252">
        <f>SUM($B$164:G164)</f>
        <v>94433.196750683433</v>
      </c>
      <c r="I193" s="252">
        <f>SUM($B$164:H164)</f>
        <v>94433.196750683433</v>
      </c>
      <c r="J193" s="252">
        <f>SUM($B$164:I164)</f>
        <v>94433.196750683433</v>
      </c>
      <c r="K193" s="242">
        <v>0</v>
      </c>
      <c r="L193" s="125">
        <f>B207+C207</f>
        <v>3.101</v>
      </c>
      <c r="M193" s="160">
        <v>2</v>
      </c>
      <c r="N193" s="68"/>
      <c r="O193" s="231" t="s">
        <v>165</v>
      </c>
      <c r="P193" s="148">
        <f t="shared" ref="P193:P199" si="69">($K139+$K147+$K155+QUOTIENT($E$137,$C$162)*$K163+SUM($O138:$W138)+INDEX($A$191:$K$198,MATCH($O193,$A$191:$A$198,0),MATCH($Q$157,$A$191:$K$191,0)))/$C$137</f>
        <v>16586.608122382426</v>
      </c>
      <c r="Q193" s="84" t="s">
        <v>207</v>
      </c>
      <c r="R193" s="68"/>
      <c r="S193" s="68"/>
      <c r="T193" s="68"/>
      <c r="V193" s="88"/>
    </row>
    <row r="194" spans="1:22" s="58" customFormat="1" ht="12.75" hidden="1" x14ac:dyDescent="0.15">
      <c r="A194" s="114" t="s">
        <v>167</v>
      </c>
      <c r="B194" s="252">
        <f>SUM(A$165:$B165)</f>
        <v>28329.641973802798</v>
      </c>
      <c r="C194" s="252">
        <f>SUM($B$165:B165)</f>
        <v>28329.641973802798</v>
      </c>
      <c r="D194" s="252">
        <f>SUM($B$165:C165)</f>
        <v>37975.622110952208</v>
      </c>
      <c r="E194" s="252">
        <f>SUM($B$165:D165)</f>
        <v>47621.602248101619</v>
      </c>
      <c r="F194" s="252">
        <f>SUM($B$165:E165)</f>
        <v>61606.846582717691</v>
      </c>
      <c r="G194" s="252">
        <f>SUM($B$165:F165)</f>
        <v>71252.826719867109</v>
      </c>
      <c r="H194" s="252">
        <f>SUM($B$165:G165)</f>
        <v>80898.80685701652</v>
      </c>
      <c r="I194" s="252">
        <f>SUM($B$165:H165)</f>
        <v>80898.80685701652</v>
      </c>
      <c r="J194" s="252">
        <f>SUM($B$165:I165)</f>
        <v>80898.80685701652</v>
      </c>
      <c r="K194" s="242">
        <v>0</v>
      </c>
      <c r="L194" s="125">
        <f>B207+C207+D207</f>
        <v>4.6515000000000004</v>
      </c>
      <c r="M194" s="160">
        <v>3</v>
      </c>
      <c r="N194" s="68"/>
      <c r="O194" s="231" t="s">
        <v>166</v>
      </c>
      <c r="P194" s="148">
        <f t="shared" si="69"/>
        <v>14634.057821096168</v>
      </c>
      <c r="Q194" s="68" t="s">
        <v>208</v>
      </c>
      <c r="R194" s="85" t="s">
        <v>49</v>
      </c>
      <c r="S194" s="68" t="s">
        <v>29</v>
      </c>
      <c r="T194" s="68" t="s">
        <v>210</v>
      </c>
      <c r="V194" s="88"/>
    </row>
    <row r="195" spans="1:22" s="58" customFormat="1" ht="12.75" hidden="1" x14ac:dyDescent="0.15">
      <c r="A195" s="86" t="s">
        <v>298</v>
      </c>
      <c r="B195" s="252">
        <f>SUM(A$166:$B166)</f>
        <v>19742.291572954957</v>
      </c>
      <c r="C195" s="252">
        <f>SUM($B$166:B166)</f>
        <v>19742.291572954957</v>
      </c>
      <c r="D195" s="252">
        <f>SUM($B$166:C166)</f>
        <v>26486.908372037022</v>
      </c>
      <c r="E195" s="252">
        <f>SUM($B$166:D166)</f>
        <v>33231.525171119087</v>
      </c>
      <c r="F195" s="252">
        <f>SUM($B$166:E166)</f>
        <v>42996.692615311265</v>
      </c>
      <c r="G195" s="252">
        <f>SUM($B$166:F166)</f>
        <v>49741.309414393334</v>
      </c>
      <c r="H195" s="252">
        <f>SUM($B$166:G166)</f>
        <v>56485.926213475403</v>
      </c>
      <c r="I195" s="252">
        <f>SUM($B$166:H166)</f>
        <v>56485.926213475403</v>
      </c>
      <c r="J195" s="252">
        <f>SUM($B$166:I166)</f>
        <v>56485.926213475403</v>
      </c>
      <c r="K195" s="242">
        <v>0</v>
      </c>
      <c r="L195" s="125">
        <f>B207+C207+D207+E207</f>
        <v>6.202</v>
      </c>
      <c r="M195" s="160">
        <v>4</v>
      </c>
      <c r="N195" s="68"/>
      <c r="O195" s="231" t="s">
        <v>167</v>
      </c>
      <c r="P195" s="148">
        <f t="shared" si="69"/>
        <v>12569.07243445833</v>
      </c>
      <c r="Q195" s="84">
        <f>QUOTIENT($E$137,$C$162)</f>
        <v>22</v>
      </c>
      <c r="R195" s="84">
        <f>Q195*COUNTIF($B$24:$K$24,"=两仪")+COUNTIF($B$18:$K$22,"=两仪")+(Q157&gt;3)-R155</f>
        <v>24</v>
      </c>
      <c r="S195" s="68">
        <f>S149+3*(C17="是")</f>
        <v>19</v>
      </c>
      <c r="T195" s="70">
        <f>P147</f>
        <v>100</v>
      </c>
      <c r="V195" s="88"/>
    </row>
    <row r="196" spans="1:22" s="58" customFormat="1" hidden="1" x14ac:dyDescent="0.15">
      <c r="A196" s="86" t="s">
        <v>301</v>
      </c>
      <c r="B196" s="252">
        <f>SUM(A$167:$B167)</f>
        <v>26500.344717582502</v>
      </c>
      <c r="C196" s="252">
        <f>SUM($B$167:B167)</f>
        <v>26500.344717582502</v>
      </c>
      <c r="D196" s="252">
        <f>SUM($B$167:C167)</f>
        <v>35541.328528030703</v>
      </c>
      <c r="E196" s="252">
        <f>SUM($B$167:D167)</f>
        <v>44582.312338478907</v>
      </c>
      <c r="F196" s="252">
        <f>SUM($B$167:E167)</f>
        <v>57679.684545959077</v>
      </c>
      <c r="G196" s="252">
        <f>SUM($B$167:F167)</f>
        <v>66720.668356407274</v>
      </c>
      <c r="H196" s="252">
        <f>SUM($B$167:G167)</f>
        <v>75761.652166855478</v>
      </c>
      <c r="I196" s="252">
        <f>SUM($B$167:H167)</f>
        <v>75761.652166855478</v>
      </c>
      <c r="J196" s="252">
        <f>SUM($B$167:I167)</f>
        <v>75761.652166855478</v>
      </c>
      <c r="K196" s="242">
        <v>0</v>
      </c>
      <c r="L196" s="125">
        <f>B207+C207+D207+E207+F207</f>
        <v>7.7524999999999995</v>
      </c>
      <c r="M196" s="160">
        <v>5</v>
      </c>
      <c r="N196" s="68"/>
      <c r="O196" s="231" t="s">
        <v>298</v>
      </c>
      <c r="P196" s="148">
        <f t="shared" si="69"/>
        <v>8768.78805403962</v>
      </c>
      <c r="R196" s="68" t="s">
        <v>30</v>
      </c>
      <c r="S196" s="68" t="s">
        <v>209</v>
      </c>
      <c r="T196" s="68" t="s">
        <v>211</v>
      </c>
      <c r="V196" s="14"/>
    </row>
    <row r="197" spans="1:22" s="58" customFormat="1" hidden="1" x14ac:dyDescent="0.15">
      <c r="A197" s="86" t="s">
        <v>303</v>
      </c>
      <c r="B197" s="252">
        <f>SUM(A$168:$B168)</f>
        <v>26500.344717582502</v>
      </c>
      <c r="C197" s="252">
        <f>SUM($B$168:B168)</f>
        <v>26500.344717582502</v>
      </c>
      <c r="D197" s="252">
        <f>SUM($B$168:C168)</f>
        <v>35541.328528030703</v>
      </c>
      <c r="E197" s="252">
        <f>SUM($B$168:D168)</f>
        <v>44582.312338478907</v>
      </c>
      <c r="F197" s="252">
        <f>SUM($B$168:E168)</f>
        <v>57679.684545959077</v>
      </c>
      <c r="G197" s="252">
        <f>SUM($B$168:F168)</f>
        <v>66720.668356407274</v>
      </c>
      <c r="H197" s="252">
        <f>SUM($B$168:G168)</f>
        <v>75761.652166855478</v>
      </c>
      <c r="I197" s="252">
        <f>SUM($B$168:H168)</f>
        <v>75761.652166855478</v>
      </c>
      <c r="J197" s="252">
        <f>SUM($B$168:I168)</f>
        <v>75761.652166855478</v>
      </c>
      <c r="K197" s="242">
        <v>0</v>
      </c>
      <c r="L197" s="125">
        <f>B207+C207+D207+E207+F207+G207</f>
        <v>9.302999999999999</v>
      </c>
      <c r="M197" s="160">
        <v>6</v>
      </c>
      <c r="N197" s="68"/>
      <c r="O197" s="231" t="s">
        <v>301</v>
      </c>
      <c r="P197" s="148">
        <f t="shared" si="69"/>
        <v>11765.134943147294</v>
      </c>
      <c r="R197" s="68">
        <f>($Q$195+T155)*COUNTIF($B$24:$J$24,"=四象")+COUNTIF($B$18:$K$23,"=四象")-S195-R153+U155</f>
        <v>74</v>
      </c>
      <c r="S197" s="68">
        <f>Q195+3-T155</f>
        <v>25</v>
      </c>
      <c r="T197" s="68">
        <f>O182</f>
        <v>89</v>
      </c>
      <c r="V197" s="14"/>
    </row>
    <row r="198" spans="1:22" s="88" customFormat="1" hidden="1" x14ac:dyDescent="0.15">
      <c r="A198" s="124" t="s">
        <v>305</v>
      </c>
      <c r="B198" s="253">
        <f>SUM(A$169:$B169)</f>
        <v>26500.344717582502</v>
      </c>
      <c r="C198" s="253">
        <f>SUM($B$169:B169)</f>
        <v>26500.344717582502</v>
      </c>
      <c r="D198" s="253">
        <f>SUM($B$169:C169)</f>
        <v>35541.328528030703</v>
      </c>
      <c r="E198" s="253">
        <f>SUM($B$169:D169)</f>
        <v>44582.312338478907</v>
      </c>
      <c r="F198" s="253">
        <f>SUM($B$169:E169)</f>
        <v>57679.684545959077</v>
      </c>
      <c r="G198" s="253">
        <f>SUM($B$169:F169)</f>
        <v>66720.668356407274</v>
      </c>
      <c r="H198" s="253">
        <f>SUM($B$169:G169)</f>
        <v>75761.652166855478</v>
      </c>
      <c r="I198" s="253">
        <f>SUM($B$169:H169)</f>
        <v>75761.652166855478</v>
      </c>
      <c r="J198" s="253">
        <f>SUM($B$169:I169)</f>
        <v>75761.652166855478</v>
      </c>
      <c r="K198" s="247">
        <v>0</v>
      </c>
      <c r="L198" s="125">
        <f>B207+C207+D207+E207+F207+G207+H207</f>
        <v>9.302999999999999</v>
      </c>
      <c r="M198" s="160">
        <v>7</v>
      </c>
      <c r="N198" s="94"/>
      <c r="O198" s="231" t="s">
        <v>303</v>
      </c>
      <c r="P198" s="148">
        <f t="shared" si="69"/>
        <v>11765.134943147294</v>
      </c>
      <c r="Q198" s="68"/>
      <c r="R198" s="68"/>
      <c r="S198" s="68"/>
      <c r="T198" s="68"/>
      <c r="U198" s="58"/>
      <c r="V198" s="14"/>
    </row>
    <row r="199" spans="1:22" s="88" customFormat="1" hidden="1" x14ac:dyDescent="0.15">
      <c r="A199" s="141" t="s">
        <v>231</v>
      </c>
      <c r="B199" s="113">
        <v>1</v>
      </c>
      <c r="C199" s="113">
        <v>2</v>
      </c>
      <c r="D199" s="113">
        <v>3</v>
      </c>
      <c r="E199" s="113">
        <v>4</v>
      </c>
      <c r="F199" s="113">
        <v>5</v>
      </c>
      <c r="G199" s="113">
        <v>6</v>
      </c>
      <c r="H199" s="113">
        <v>7</v>
      </c>
      <c r="I199" s="113">
        <v>8</v>
      </c>
      <c r="J199" s="113">
        <v>9</v>
      </c>
      <c r="K199" s="113">
        <v>0</v>
      </c>
      <c r="L199" s="126">
        <f>B207+C207+D207+E207+F207+G207+H207+I207</f>
        <v>9.302999999999999</v>
      </c>
      <c r="M199" s="161">
        <v>8</v>
      </c>
      <c r="N199" s="94"/>
      <c r="O199" s="231" t="s">
        <v>305</v>
      </c>
      <c r="P199" s="148">
        <f t="shared" si="69"/>
        <v>11765.134943147294</v>
      </c>
      <c r="Q199" s="68"/>
      <c r="R199" s="68"/>
      <c r="S199" s="68"/>
      <c r="T199" s="68"/>
      <c r="U199" s="58"/>
      <c r="V199" s="14"/>
    </row>
    <row r="200" spans="1:22" s="88" customFormat="1" hidden="1" x14ac:dyDescent="0.15">
      <c r="A200" s="114" t="s">
        <v>165</v>
      </c>
      <c r="B200" s="252">
        <f>SUM(A$182:$B182)</f>
        <v>56967.88675123523</v>
      </c>
      <c r="C200" s="252">
        <f>SUM($B$182:B182)</f>
        <v>56967.88675123523</v>
      </c>
      <c r="D200" s="252">
        <f>SUM($B$182:C182)</f>
        <v>76196.504533993182</v>
      </c>
      <c r="E200" s="252">
        <f>SUM($B$182:D182)</f>
        <v>95425.122316751134</v>
      </c>
      <c r="F200" s="252">
        <f>SUM($B$182:E182)</f>
        <v>123370.89004978404</v>
      </c>
      <c r="G200" s="252">
        <f>SUM($B$182:F182)</f>
        <v>142599.507832542</v>
      </c>
      <c r="H200" s="252">
        <f>SUM($B$182:G182)</f>
        <v>161828.12561529997</v>
      </c>
      <c r="I200" s="252">
        <f>SUM($B$182:H182)</f>
        <v>161828.12561529997</v>
      </c>
      <c r="J200" s="252">
        <f>SUM($B$182:I182)</f>
        <v>161828.12561529997</v>
      </c>
      <c r="K200" s="242">
        <v>0</v>
      </c>
      <c r="N200" s="94"/>
      <c r="O200" s="232"/>
      <c r="U200" s="58"/>
      <c r="V200" s="14"/>
    </row>
    <row r="201" spans="1:22" s="88" customFormat="1" ht="12.75" hidden="1" x14ac:dyDescent="0.15">
      <c r="A201" s="114" t="s">
        <v>166</v>
      </c>
      <c r="B201" s="252">
        <f>SUM(A$183:$B183)</f>
        <v>50261.713697706255</v>
      </c>
      <c r="C201" s="252">
        <f>SUM($B$183:B183)</f>
        <v>50261.713697706255</v>
      </c>
      <c r="D201" s="252">
        <f>SUM($B$183:C183)</f>
        <v>67226.767817054439</v>
      </c>
      <c r="E201" s="252">
        <f>SUM($B$183:D183)</f>
        <v>84191.821936402615</v>
      </c>
      <c r="F201" s="252">
        <f>SUM($B$183:E183)</f>
        <v>108847.8563614437</v>
      </c>
      <c r="G201" s="252">
        <f>SUM($B$183:F183)</f>
        <v>125812.91048079188</v>
      </c>
      <c r="H201" s="252">
        <f>SUM($B$183:G183)</f>
        <v>142777.96460014005</v>
      </c>
      <c r="I201" s="252">
        <f>SUM($B$183:H183)</f>
        <v>142777.96460014005</v>
      </c>
      <c r="J201" s="252">
        <f>SUM($B$183:I183)</f>
        <v>142777.96460014005</v>
      </c>
      <c r="K201" s="242">
        <v>0</v>
      </c>
      <c r="L201" s="68"/>
      <c r="N201" s="94"/>
      <c r="O201" s="232"/>
    </row>
    <row r="202" spans="1:22" s="88" customFormat="1" ht="12.75" hidden="1" x14ac:dyDescent="0.15">
      <c r="A202" s="114" t="s">
        <v>167</v>
      </c>
      <c r="B202" s="252">
        <f>SUM(A$184:$B184)</f>
        <v>43167.480109035874</v>
      </c>
      <c r="C202" s="252">
        <f>SUM($B$184:B184)</f>
        <v>43167.480109035874</v>
      </c>
      <c r="D202" s="252">
        <f>SUM($B$184:C184)</f>
        <v>57744.722237774127</v>
      </c>
      <c r="E202" s="252">
        <f>SUM($B$184:D184)</f>
        <v>72321.964366512388</v>
      </c>
      <c r="F202" s="252">
        <f>SUM($B$184:E184)</f>
        <v>93503.620405589754</v>
      </c>
      <c r="G202" s="252">
        <f>SUM($B$184:F184)</f>
        <v>108080.86253432801</v>
      </c>
      <c r="H202" s="252">
        <f>SUM($B$184:G184)</f>
        <v>122658.10466306627</v>
      </c>
      <c r="I202" s="252">
        <f>SUM($B$184:H184)</f>
        <v>122658.10466306627</v>
      </c>
      <c r="J202" s="252">
        <f>SUM($B$184:I184)</f>
        <v>122658.10466306627</v>
      </c>
      <c r="K202" s="242">
        <v>0</v>
      </c>
      <c r="L202" s="68"/>
      <c r="N202" s="94"/>
      <c r="O202" s="232"/>
    </row>
    <row r="203" spans="1:22" s="88" customFormat="1" ht="12.75" hidden="1" x14ac:dyDescent="0.15">
      <c r="A203" s="114" t="s">
        <v>298</v>
      </c>
      <c r="B203" s="252">
        <f>SUM(A$185:$B185)</f>
        <v>30507.94724349818</v>
      </c>
      <c r="C203" s="252">
        <f>SUM($B$185:B185)</f>
        <v>30507.94724349818</v>
      </c>
      <c r="D203" s="252">
        <f>SUM($B$185:C185)</f>
        <v>40832.734831249516</v>
      </c>
      <c r="E203" s="252">
        <f>SUM($B$185:D185)</f>
        <v>51157.522419000852</v>
      </c>
      <c r="F203" s="252">
        <f>SUM($B$185:E185)</f>
        <v>66146.475116530506</v>
      </c>
      <c r="G203" s="252">
        <f>SUM($B$185:F185)</f>
        <v>76471.262704281835</v>
      </c>
      <c r="H203" s="252">
        <f>SUM($B$185:G185)</f>
        <v>86796.050292033164</v>
      </c>
      <c r="I203" s="252">
        <f>SUM($B$185:H185)</f>
        <v>86796.050292033164</v>
      </c>
      <c r="J203" s="252">
        <f>SUM($B$185:I185)</f>
        <v>86796.050292033164</v>
      </c>
      <c r="K203" s="242">
        <v>0</v>
      </c>
      <c r="L203" s="68"/>
      <c r="N203" s="94"/>
      <c r="O203" s="232"/>
    </row>
    <row r="204" spans="1:22" s="88" customFormat="1" ht="12.75" hidden="1" x14ac:dyDescent="0.15">
      <c r="A204" s="114" t="s">
        <v>301</v>
      </c>
      <c r="B204" s="252">
        <f>SUM(A$186:$B186)</f>
        <v>40717.128256725038</v>
      </c>
      <c r="C204" s="252">
        <f>SUM($B$186:B186)</f>
        <v>40717.128256725038</v>
      </c>
      <c r="D204" s="252">
        <f>SUM($B$186:C186)</f>
        <v>54484.770975969019</v>
      </c>
      <c r="E204" s="252">
        <f>SUM($B$186:D186)</f>
        <v>68252.413695213007</v>
      </c>
      <c r="F204" s="252">
        <f>SUM($B$186:E186)</f>
        <v>88246.883592621321</v>
      </c>
      <c r="G204" s="252">
        <f>SUM($B$186:F186)</f>
        <v>102014.52631186531</v>
      </c>
      <c r="H204" s="252">
        <f>SUM($B$186:G186)</f>
        <v>115782.1690311093</v>
      </c>
      <c r="I204" s="252">
        <f>SUM($B$186:H186)</f>
        <v>115782.1690311093</v>
      </c>
      <c r="J204" s="252">
        <f>SUM($B$186:I186)</f>
        <v>115782.1690311093</v>
      </c>
      <c r="K204" s="242">
        <v>0</v>
      </c>
      <c r="L204" s="68"/>
      <c r="N204" s="94"/>
      <c r="O204" s="232"/>
    </row>
    <row r="205" spans="1:22" s="88" customFormat="1" ht="12.75" hidden="1" x14ac:dyDescent="0.15">
      <c r="A205" s="114" t="s">
        <v>303</v>
      </c>
      <c r="B205" s="252">
        <f>SUM(A$187:$B187)</f>
        <v>40717.128256725038</v>
      </c>
      <c r="C205" s="252">
        <f>SUM($B$187:B187)</f>
        <v>40717.128256725038</v>
      </c>
      <c r="D205" s="252">
        <f>SUM($B$187:C187)</f>
        <v>54484.770975969019</v>
      </c>
      <c r="E205" s="252">
        <f>SUM($B$187:D187)</f>
        <v>68252.413695213007</v>
      </c>
      <c r="F205" s="252">
        <f>SUM($B$187:E187)</f>
        <v>88246.883592621321</v>
      </c>
      <c r="G205" s="252">
        <f>SUM($B$187:F187)</f>
        <v>102014.52631186531</v>
      </c>
      <c r="H205" s="252">
        <f>SUM($B$187:G187)</f>
        <v>115782.1690311093</v>
      </c>
      <c r="I205" s="252">
        <f>SUM($B$187:H187)</f>
        <v>115782.1690311093</v>
      </c>
      <c r="J205" s="252">
        <f>SUM($B$187:I187)</f>
        <v>115782.1690311093</v>
      </c>
      <c r="K205" s="242">
        <v>0</v>
      </c>
      <c r="L205" s="68"/>
      <c r="N205" s="94"/>
      <c r="O205" s="232"/>
    </row>
    <row r="206" spans="1:22" s="88" customFormat="1" ht="12.75" hidden="1" x14ac:dyDescent="0.15">
      <c r="A206" s="123" t="s">
        <v>305</v>
      </c>
      <c r="B206" s="253">
        <f>SUM(A$188:$B188)</f>
        <v>40717.128256725038</v>
      </c>
      <c r="C206" s="253">
        <f>SUM($B$188:B188)</f>
        <v>40717.128256725038</v>
      </c>
      <c r="D206" s="253">
        <f>SUM($B$188:C188)</f>
        <v>54484.770975969019</v>
      </c>
      <c r="E206" s="253">
        <f>SUM($B$188:D188)</f>
        <v>68252.413695213007</v>
      </c>
      <c r="F206" s="253">
        <f>SUM($B$188:E188)</f>
        <v>88246.883592621321</v>
      </c>
      <c r="G206" s="253">
        <f>SUM($B$188:F188)</f>
        <v>102014.52631186531</v>
      </c>
      <c r="H206" s="253">
        <f>SUM($B$188:G188)</f>
        <v>115782.1690311093</v>
      </c>
      <c r="I206" s="253">
        <f>SUM($B$188:H188)</f>
        <v>115782.1690311093</v>
      </c>
      <c r="J206" s="253">
        <f>SUM($B$188:I188)</f>
        <v>115782.1690311093</v>
      </c>
      <c r="K206" s="247">
        <v>0</v>
      </c>
      <c r="N206" s="94"/>
      <c r="O206" s="232"/>
    </row>
    <row r="207" spans="1:22" s="88" customFormat="1" ht="12.75" hidden="1" x14ac:dyDescent="0.15">
      <c r="A207" s="139" t="s">
        <v>212</v>
      </c>
      <c r="B207" s="121">
        <f t="shared" ref="B207:J207" si="70">B25</f>
        <v>1.5505</v>
      </c>
      <c r="C207" s="121">
        <f t="shared" si="70"/>
        <v>1.5505</v>
      </c>
      <c r="D207" s="121">
        <f t="shared" si="70"/>
        <v>1.5505</v>
      </c>
      <c r="E207" s="121">
        <f t="shared" si="70"/>
        <v>1.5505</v>
      </c>
      <c r="F207" s="121">
        <f t="shared" si="70"/>
        <v>1.5505</v>
      </c>
      <c r="G207" s="121">
        <f t="shared" si="70"/>
        <v>1.5505</v>
      </c>
      <c r="H207" s="121">
        <f t="shared" si="70"/>
        <v>0</v>
      </c>
      <c r="I207" s="121">
        <f t="shared" si="70"/>
        <v>0</v>
      </c>
      <c r="J207" s="121">
        <f t="shared" si="70"/>
        <v>0</v>
      </c>
      <c r="K207" s="122">
        <v>0</v>
      </c>
      <c r="N207" s="94"/>
      <c r="O207" s="232"/>
    </row>
    <row r="208" spans="1:22" s="88" customFormat="1" ht="12.75" hidden="1" x14ac:dyDescent="0.15">
      <c r="N208" s="94"/>
      <c r="O208" s="233"/>
    </row>
    <row r="209" spans="1:17" s="88" customFormat="1" ht="12.75" hidden="1" x14ac:dyDescent="0.15">
      <c r="K209" s="153"/>
      <c r="L209" s="162" t="s">
        <v>258</v>
      </c>
      <c r="M209" s="158"/>
      <c r="N209" s="94"/>
      <c r="O209" s="233"/>
    </row>
    <row r="210" spans="1:17" hidden="1" x14ac:dyDescent="0.15">
      <c r="A210" s="138" t="s">
        <v>277</v>
      </c>
      <c r="B210" s="149">
        <f>IF(B211=0,0,1)</f>
        <v>0</v>
      </c>
      <c r="C210" s="149">
        <f t="shared" ref="C210:J210" si="71">IF(C211=0,0,B210+1)</f>
        <v>0</v>
      </c>
      <c r="D210" s="149">
        <f t="shared" si="71"/>
        <v>0</v>
      </c>
      <c r="E210" s="149">
        <f t="shared" si="71"/>
        <v>1</v>
      </c>
      <c r="F210" s="149">
        <f t="shared" si="71"/>
        <v>2</v>
      </c>
      <c r="G210" s="149">
        <f t="shared" si="71"/>
        <v>3</v>
      </c>
      <c r="H210" s="149">
        <f t="shared" si="71"/>
        <v>4</v>
      </c>
      <c r="I210" s="149">
        <f t="shared" si="71"/>
        <v>5</v>
      </c>
      <c r="J210" s="149">
        <f t="shared" si="71"/>
        <v>6</v>
      </c>
      <c r="K210" s="149">
        <v>0</v>
      </c>
      <c r="L210" s="179">
        <v>0</v>
      </c>
      <c r="M210" s="157">
        <v>0</v>
      </c>
      <c r="N210" s="45"/>
      <c r="O210" s="234"/>
    </row>
    <row r="211" spans="1:17" hidden="1" x14ac:dyDescent="0.15">
      <c r="A211" s="86" t="s">
        <v>165</v>
      </c>
      <c r="B211" s="254">
        <f t="shared" ref="B211:B217" si="72">J163</f>
        <v>0</v>
      </c>
      <c r="C211" s="254">
        <f t="shared" ref="C211:C217" si="73">J163+I163</f>
        <v>0</v>
      </c>
      <c r="D211" s="254">
        <f t="shared" ref="D211:D217" si="74">J163+I163+H163</f>
        <v>0</v>
      </c>
      <c r="E211" s="254">
        <f t="shared" ref="E211:E217" si="75">J163+I163+H163+G163</f>
        <v>12758.339699924558</v>
      </c>
      <c r="F211" s="254">
        <f t="shared" ref="F211:F217" si="76">J163+I163+H163+G163+F163</f>
        <v>25516.679399849116</v>
      </c>
      <c r="G211" s="254">
        <f t="shared" ref="G211:G217" si="77">J163+I163+H163+G163+F163+E163</f>
        <v>44019.718165685787</v>
      </c>
      <c r="H211" s="254">
        <f t="shared" ref="H211:H217" si="78">J163+I163+H163+G163+F163+E163+D163</f>
        <v>56778.057865610346</v>
      </c>
      <c r="I211" s="254">
        <f t="shared" ref="I211:I217" si="79">J163+I163+H163+G163+F163+E163+D163+C163</f>
        <v>69536.397565534906</v>
      </c>
      <c r="J211" s="254">
        <f t="shared" ref="J211:J217" si="80">J163+I163+H163+G163+F163+E163+D163+C163+B163</f>
        <v>107032.95336099046</v>
      </c>
      <c r="K211" s="255">
        <v>0</v>
      </c>
      <c r="L211" s="203">
        <f>J207</f>
        <v>0</v>
      </c>
      <c r="M211" s="204">
        <f t="shared" ref="M211:M219" si="81">IF(L211=0,0,M210+1)</f>
        <v>0</v>
      </c>
      <c r="N211" s="45"/>
      <c r="O211" s="234"/>
    </row>
    <row r="212" spans="1:17" hidden="1" x14ac:dyDescent="0.15">
      <c r="A212" s="86" t="s">
        <v>166</v>
      </c>
      <c r="B212" s="254">
        <f t="shared" si="72"/>
        <v>0</v>
      </c>
      <c r="C212" s="254">
        <f t="shared" si="73"/>
        <v>0</v>
      </c>
      <c r="D212" s="254">
        <f t="shared" si="74"/>
        <v>0</v>
      </c>
      <c r="E212" s="254">
        <f t="shared" si="75"/>
        <v>11256.447339461531</v>
      </c>
      <c r="F212" s="254">
        <f t="shared" si="76"/>
        <v>22512.894678923061</v>
      </c>
      <c r="G212" s="254">
        <f t="shared" si="77"/>
        <v>38837.783840550204</v>
      </c>
      <c r="H212" s="254">
        <f t="shared" si="78"/>
        <v>50094.231180011731</v>
      </c>
      <c r="I212" s="254">
        <f t="shared" si="79"/>
        <v>61350.678519473266</v>
      </c>
      <c r="J212" s="254">
        <f t="shared" si="80"/>
        <v>94433.196750683419</v>
      </c>
      <c r="K212" s="255">
        <v>0</v>
      </c>
      <c r="L212" s="203">
        <f>J207+I207</f>
        <v>0</v>
      </c>
      <c r="M212" s="204">
        <f t="shared" si="81"/>
        <v>0</v>
      </c>
      <c r="N212" s="45"/>
      <c r="O212" s="235"/>
    </row>
    <row r="213" spans="1:17" hidden="1" x14ac:dyDescent="0.15">
      <c r="A213" s="86" t="s">
        <v>167</v>
      </c>
      <c r="B213" s="254">
        <f t="shared" si="72"/>
        <v>0</v>
      </c>
      <c r="C213" s="254">
        <f t="shared" si="73"/>
        <v>0</v>
      </c>
      <c r="D213" s="254">
        <f t="shared" si="74"/>
        <v>0</v>
      </c>
      <c r="E213" s="254">
        <f t="shared" si="75"/>
        <v>9645.9801371494123</v>
      </c>
      <c r="F213" s="254">
        <f t="shared" si="76"/>
        <v>19291.960274298825</v>
      </c>
      <c r="G213" s="254">
        <f t="shared" si="77"/>
        <v>33277.204608914893</v>
      </c>
      <c r="H213" s="254">
        <f t="shared" si="78"/>
        <v>42923.184746064304</v>
      </c>
      <c r="I213" s="254">
        <f t="shared" si="79"/>
        <v>52569.164883213714</v>
      </c>
      <c r="J213" s="254">
        <f t="shared" si="80"/>
        <v>80898.80685701652</v>
      </c>
      <c r="K213" s="255">
        <v>0</v>
      </c>
      <c r="L213" s="205">
        <f>J207+I207+H207</f>
        <v>0</v>
      </c>
      <c r="M213" s="204">
        <f t="shared" si="81"/>
        <v>0</v>
      </c>
      <c r="N213" s="45"/>
      <c r="O213" s="235"/>
    </row>
    <row r="214" spans="1:17" hidden="1" x14ac:dyDescent="0.15">
      <c r="A214" s="86" t="s">
        <v>298</v>
      </c>
      <c r="B214" s="254">
        <f t="shared" si="72"/>
        <v>0</v>
      </c>
      <c r="C214" s="254">
        <f t="shared" si="73"/>
        <v>0</v>
      </c>
      <c r="D214" s="254">
        <f t="shared" si="74"/>
        <v>0</v>
      </c>
      <c r="E214" s="254">
        <f t="shared" si="75"/>
        <v>6744.6167990820659</v>
      </c>
      <c r="F214" s="254">
        <f t="shared" si="76"/>
        <v>13489.233598164132</v>
      </c>
      <c r="G214" s="254">
        <f t="shared" si="77"/>
        <v>23254.401042356309</v>
      </c>
      <c r="H214" s="254">
        <f t="shared" si="78"/>
        <v>29999.017841438374</v>
      </c>
      <c r="I214" s="254">
        <f t="shared" si="79"/>
        <v>36743.634640520439</v>
      </c>
      <c r="J214" s="254">
        <f t="shared" si="80"/>
        <v>56485.926213475395</v>
      </c>
      <c r="K214" s="255">
        <v>0</v>
      </c>
      <c r="L214" s="205">
        <f>J207+I207+H207+G207</f>
        <v>1.5505</v>
      </c>
      <c r="M214" s="204">
        <f t="shared" si="81"/>
        <v>1</v>
      </c>
      <c r="N214" s="45"/>
      <c r="O214" s="235"/>
    </row>
    <row r="215" spans="1:17" hidden="1" x14ac:dyDescent="0.15">
      <c r="A215" s="86" t="s">
        <v>301</v>
      </c>
      <c r="B215" s="254">
        <f t="shared" si="72"/>
        <v>0</v>
      </c>
      <c r="C215" s="254">
        <f t="shared" si="73"/>
        <v>0</v>
      </c>
      <c r="D215" s="254">
        <f t="shared" si="74"/>
        <v>0</v>
      </c>
      <c r="E215" s="254">
        <f t="shared" si="75"/>
        <v>9040.9838104482005</v>
      </c>
      <c r="F215" s="254">
        <f t="shared" si="76"/>
        <v>18081.967620896401</v>
      </c>
      <c r="G215" s="254">
        <f t="shared" si="77"/>
        <v>31179.339828376571</v>
      </c>
      <c r="H215" s="254">
        <f t="shared" si="78"/>
        <v>40220.323638824775</v>
      </c>
      <c r="I215" s="254">
        <f t="shared" si="79"/>
        <v>49261.307449272979</v>
      </c>
      <c r="J215" s="254">
        <f t="shared" si="80"/>
        <v>75761.652166855478</v>
      </c>
      <c r="K215" s="255">
        <v>0</v>
      </c>
      <c r="L215" s="205">
        <f>J207+I207+H207+G207+F207</f>
        <v>3.101</v>
      </c>
      <c r="M215" s="204">
        <f t="shared" si="81"/>
        <v>2</v>
      </c>
      <c r="N215" s="45"/>
      <c r="O215" s="235"/>
      <c r="P215" s="202"/>
      <c r="Q215" s="202"/>
    </row>
    <row r="216" spans="1:17" hidden="1" x14ac:dyDescent="0.15">
      <c r="A216" s="86" t="s">
        <v>303</v>
      </c>
      <c r="B216" s="254">
        <f t="shared" si="72"/>
        <v>0</v>
      </c>
      <c r="C216" s="254">
        <f t="shared" si="73"/>
        <v>0</v>
      </c>
      <c r="D216" s="254">
        <f t="shared" si="74"/>
        <v>0</v>
      </c>
      <c r="E216" s="254">
        <f t="shared" si="75"/>
        <v>9040.9838104482005</v>
      </c>
      <c r="F216" s="254">
        <f t="shared" si="76"/>
        <v>18081.967620896401</v>
      </c>
      <c r="G216" s="254">
        <f t="shared" si="77"/>
        <v>31179.339828376571</v>
      </c>
      <c r="H216" s="254">
        <f t="shared" si="78"/>
        <v>40220.323638824775</v>
      </c>
      <c r="I216" s="254">
        <f t="shared" si="79"/>
        <v>49261.307449272979</v>
      </c>
      <c r="J216" s="254">
        <f t="shared" si="80"/>
        <v>75761.652166855478</v>
      </c>
      <c r="K216" s="255">
        <v>0</v>
      </c>
      <c r="L216" s="205">
        <f>J207+I207+H207+G207+F207+E207</f>
        <v>4.6515000000000004</v>
      </c>
      <c r="M216" s="204">
        <f t="shared" si="81"/>
        <v>3</v>
      </c>
      <c r="N216" s="45"/>
      <c r="O216" s="235"/>
      <c r="P216" s="202"/>
      <c r="Q216" s="202"/>
    </row>
    <row r="217" spans="1:17" hidden="1" x14ac:dyDescent="0.15">
      <c r="A217" s="86" t="s">
        <v>305</v>
      </c>
      <c r="B217" s="254">
        <f t="shared" si="72"/>
        <v>0</v>
      </c>
      <c r="C217" s="254">
        <f t="shared" si="73"/>
        <v>0</v>
      </c>
      <c r="D217" s="254">
        <f t="shared" si="74"/>
        <v>0</v>
      </c>
      <c r="E217" s="254">
        <f t="shared" si="75"/>
        <v>9040.9838104482005</v>
      </c>
      <c r="F217" s="254">
        <f t="shared" si="76"/>
        <v>18081.967620896401</v>
      </c>
      <c r="G217" s="254">
        <f t="shared" si="77"/>
        <v>31179.339828376571</v>
      </c>
      <c r="H217" s="254">
        <f t="shared" si="78"/>
        <v>40220.323638824775</v>
      </c>
      <c r="I217" s="254">
        <f t="shared" si="79"/>
        <v>49261.307449272979</v>
      </c>
      <c r="J217" s="254">
        <f t="shared" si="80"/>
        <v>75761.652166855478</v>
      </c>
      <c r="K217" s="255">
        <v>0</v>
      </c>
      <c r="L217" s="205">
        <f>J207+I207+H207+G207+F207+E207+D207</f>
        <v>6.202</v>
      </c>
      <c r="M217" s="204">
        <f t="shared" si="81"/>
        <v>4</v>
      </c>
      <c r="N217" s="45"/>
      <c r="O217" s="235"/>
      <c r="P217" s="202"/>
      <c r="Q217" s="202"/>
    </row>
    <row r="218" spans="1:17" hidden="1" x14ac:dyDescent="0.15">
      <c r="L218" s="205">
        <f>J207+I207+H207+G207+F207+E207+D207+C207</f>
        <v>7.7524999999999995</v>
      </c>
      <c r="M218" s="204">
        <f t="shared" si="81"/>
        <v>5</v>
      </c>
      <c r="N218" s="45"/>
      <c r="O218" s="235"/>
    </row>
    <row r="219" spans="1:17" hidden="1" x14ac:dyDescent="0.15">
      <c r="L219" s="206">
        <f>J207+I207+H207+G207+F207+E207+D207+C207+B207</f>
        <v>9.302999999999999</v>
      </c>
      <c r="M219" s="204">
        <f t="shared" si="81"/>
        <v>6</v>
      </c>
      <c r="N219" s="45"/>
      <c r="O219" s="235"/>
    </row>
    <row r="220" spans="1:17" hidden="1" x14ac:dyDescent="0.15">
      <c r="O220" s="235"/>
    </row>
    <row r="221" spans="1:17" hidden="1" x14ac:dyDescent="0.15">
      <c r="A221" s="211" t="s">
        <v>278</v>
      </c>
      <c r="B221" s="208">
        <f>(B222&lt;&gt;0)*1</f>
        <v>1</v>
      </c>
      <c r="C221" s="208">
        <f>IF(C222&lt;&gt;0,B221+1)</f>
        <v>2</v>
      </c>
      <c r="D221" s="208">
        <f t="shared" ref="D221:J221" si="82">IF(D222&lt;&gt;0,C221+1)</f>
        <v>3</v>
      </c>
      <c r="E221" s="208">
        <f t="shared" si="82"/>
        <v>4</v>
      </c>
      <c r="F221" s="208">
        <f t="shared" si="82"/>
        <v>5</v>
      </c>
      <c r="G221" s="208">
        <f t="shared" si="82"/>
        <v>6</v>
      </c>
      <c r="H221" s="208" t="b">
        <f t="shared" si="82"/>
        <v>0</v>
      </c>
      <c r="I221" s="208" t="b">
        <f t="shared" si="82"/>
        <v>0</v>
      </c>
      <c r="J221" s="208" t="b">
        <f t="shared" si="82"/>
        <v>0</v>
      </c>
      <c r="K221" s="208" t="s">
        <v>280</v>
      </c>
      <c r="L221" s="208" t="s">
        <v>281</v>
      </c>
      <c r="M221" s="208" t="s">
        <v>283</v>
      </c>
      <c r="N221" s="93" t="s">
        <v>289</v>
      </c>
      <c r="O221" s="236"/>
    </row>
    <row r="222" spans="1:17" hidden="1" x14ac:dyDescent="0.15">
      <c r="A222" s="208" t="s">
        <v>18</v>
      </c>
      <c r="B222" s="242">
        <f t="shared" ref="B222:J228" si="83">INDEX($A$172:$N$179,MATCH($A222,$A$172:$A$179,0),MATCH(B$18,$A$172:$N$172,0))</f>
        <v>31519.755306018869</v>
      </c>
      <c r="C222" s="242">
        <f t="shared" si="83"/>
        <v>11380.48284227964</v>
      </c>
      <c r="D222" s="242">
        <f t="shared" si="83"/>
        <v>19228.617782757956</v>
      </c>
      <c r="E222" s="242">
        <f t="shared" si="83"/>
        <v>27945.76773303291</v>
      </c>
      <c r="F222" s="242">
        <f t="shared" si="83"/>
        <v>19228.617782757956</v>
      </c>
      <c r="G222" s="242">
        <f t="shared" si="83"/>
        <v>19228.617782757956</v>
      </c>
      <c r="H222" s="242">
        <f t="shared" si="83"/>
        <v>0</v>
      </c>
      <c r="I222" s="242">
        <f t="shared" si="83"/>
        <v>0</v>
      </c>
      <c r="J222" s="242">
        <f t="shared" si="83"/>
        <v>0</v>
      </c>
      <c r="K222" s="242">
        <f>SUM(B222:J222)</f>
        <v>128531.85922960527</v>
      </c>
      <c r="L222" s="242">
        <f>COUNTIF(B222:J222,"&lt;&gt;0")</f>
        <v>6</v>
      </c>
      <c r="M222" s="242">
        <f t="shared" ref="M222:M228" si="84">IF($P$171-$L$222&gt;0,$K222,INDEX($A$199:$K$206,MATCH($A222,$A$199:$A$206,0),MATCH(MAX(($P$171),0),$A$199:$K$199,0)))</f>
        <v>128531.85922960527</v>
      </c>
      <c r="N222" s="245">
        <f t="shared" ref="N222:N228" si="85">IF($P$171-$L$222&gt;0,$K139,INDEX($A$191:$K$198,MATCH($A222,$A$191:$A$198,0),MATCH(MAX(($P$171),0),$A$191:$K$191,0)))</f>
        <v>85001.469551221948</v>
      </c>
      <c r="O222" s="236"/>
    </row>
    <row r="223" spans="1:17" hidden="1" x14ac:dyDescent="0.15">
      <c r="A223" s="208" t="s">
        <v>19</v>
      </c>
      <c r="B223" s="242">
        <f t="shared" si="83"/>
        <v>27809.297612369777</v>
      </c>
      <c r="C223" s="242">
        <f t="shared" si="83"/>
        <v>10040.789697151875</v>
      </c>
      <c r="D223" s="242">
        <f t="shared" si="83"/>
        <v>16965.054119348177</v>
      </c>
      <c r="E223" s="242">
        <f t="shared" si="83"/>
        <v>24656.034425041078</v>
      </c>
      <c r="F223" s="242">
        <f t="shared" si="83"/>
        <v>16965.054119348177</v>
      </c>
      <c r="G223" s="242">
        <f t="shared" si="83"/>
        <v>16965.054119348177</v>
      </c>
      <c r="H223" s="242">
        <f t="shared" si="83"/>
        <v>0</v>
      </c>
      <c r="I223" s="242">
        <f t="shared" si="83"/>
        <v>0</v>
      </c>
      <c r="J223" s="242">
        <f t="shared" si="83"/>
        <v>0</v>
      </c>
      <c r="K223" s="242">
        <f t="shared" ref="K223:K249" si="86">SUM(B223:J223)</f>
        <v>113401.28409260727</v>
      </c>
      <c r="L223" s="242"/>
      <c r="M223" s="242">
        <f t="shared" si="84"/>
        <v>113401.28409260727</v>
      </c>
      <c r="N223" s="245">
        <f t="shared" si="85"/>
        <v>74995.225733473024</v>
      </c>
      <c r="O223" s="236"/>
    </row>
    <row r="224" spans="1:17" hidden="1" x14ac:dyDescent="0.15">
      <c r="A224" s="208" t="s">
        <v>20</v>
      </c>
      <c r="B224" s="242">
        <f t="shared" si="83"/>
        <v>23884.129951243889</v>
      </c>
      <c r="C224" s="242">
        <f t="shared" si="83"/>
        <v>8617.2243672092554</v>
      </c>
      <c r="D224" s="242">
        <f t="shared" si="83"/>
        <v>14577.242128738255</v>
      </c>
      <c r="E224" s="242">
        <f t="shared" si="83"/>
        <v>21181.65603907737</v>
      </c>
      <c r="F224" s="242">
        <f t="shared" si="83"/>
        <v>14577.242128738255</v>
      </c>
      <c r="G224" s="242">
        <f t="shared" si="83"/>
        <v>14577.242128738255</v>
      </c>
      <c r="H224" s="242">
        <f t="shared" si="83"/>
        <v>0</v>
      </c>
      <c r="I224" s="242">
        <f t="shared" si="83"/>
        <v>0</v>
      </c>
      <c r="J224" s="242">
        <f t="shared" si="83"/>
        <v>0</v>
      </c>
      <c r="K224" s="242">
        <f t="shared" si="86"/>
        <v>97414.736743745292</v>
      </c>
      <c r="L224" s="242"/>
      <c r="M224" s="242">
        <f t="shared" si="84"/>
        <v>97414.736743745292</v>
      </c>
      <c r="N224" s="245">
        <f t="shared" si="85"/>
        <v>64241.037129832112</v>
      </c>
      <c r="O224" s="236"/>
    </row>
    <row r="225" spans="1:15" hidden="1" x14ac:dyDescent="0.15">
      <c r="A225" s="208" t="s">
        <v>298</v>
      </c>
      <c r="B225" s="242">
        <f t="shared" si="83"/>
        <v>16879.73851308685</v>
      </c>
      <c r="C225" s="242">
        <f t="shared" si="83"/>
        <v>6068.8346636223332</v>
      </c>
      <c r="D225" s="242">
        <f t="shared" si="83"/>
        <v>10324.787587751334</v>
      </c>
      <c r="E225" s="242">
        <f t="shared" si="83"/>
        <v>14988.95269752965</v>
      </c>
      <c r="F225" s="242">
        <f t="shared" si="83"/>
        <v>10324.787587751334</v>
      </c>
      <c r="G225" s="242">
        <f t="shared" si="83"/>
        <v>10324.787587751334</v>
      </c>
      <c r="H225" s="242">
        <f t="shared" si="83"/>
        <v>0</v>
      </c>
      <c r="I225" s="242">
        <f t="shared" si="83"/>
        <v>0</v>
      </c>
      <c r="J225" s="242">
        <f t="shared" si="83"/>
        <v>0</v>
      </c>
      <c r="K225" s="242">
        <f t="shared" si="86"/>
        <v>68911.888637492841</v>
      </c>
      <c r="L225" s="242"/>
      <c r="M225" s="242">
        <f t="shared" si="84"/>
        <v>68911.888637492841</v>
      </c>
      <c r="N225" s="245">
        <f t="shared" si="85"/>
        <v>44835.868771140245</v>
      </c>
      <c r="O225" s="236"/>
    </row>
    <row r="226" spans="1:15" hidden="1" x14ac:dyDescent="0.15">
      <c r="A226" s="208" t="s">
        <v>301</v>
      </c>
      <c r="B226" s="242">
        <f t="shared" si="83"/>
        <v>22528.375065412303</v>
      </c>
      <c r="C226" s="242">
        <f t="shared" si="83"/>
        <v>8111.2408192688426</v>
      </c>
      <c r="D226" s="242">
        <f t="shared" si="83"/>
        <v>13767.642719243982</v>
      </c>
      <c r="E226" s="242">
        <f t="shared" si="83"/>
        <v>19994.469897408319</v>
      </c>
      <c r="F226" s="242">
        <f t="shared" si="83"/>
        <v>13767.642719243982</v>
      </c>
      <c r="G226" s="242">
        <f t="shared" si="83"/>
        <v>13767.642719243982</v>
      </c>
      <c r="H226" s="242">
        <f t="shared" si="83"/>
        <v>0</v>
      </c>
      <c r="I226" s="242">
        <f t="shared" si="83"/>
        <v>0</v>
      </c>
      <c r="J226" s="242">
        <f t="shared" si="83"/>
        <v>0</v>
      </c>
      <c r="K226" s="242">
        <f t="shared" si="86"/>
        <v>91937.013939821423</v>
      </c>
      <c r="L226" s="242"/>
      <c r="M226" s="242">
        <f t="shared" si="84"/>
        <v>91937.013939821423</v>
      </c>
      <c r="N226" s="245">
        <f t="shared" si="85"/>
        <v>60146.527581080212</v>
      </c>
      <c r="O226" s="236"/>
    </row>
    <row r="227" spans="1:15" hidden="1" x14ac:dyDescent="0.15">
      <c r="A227" s="208" t="s">
        <v>303</v>
      </c>
      <c r="B227" s="242">
        <f t="shared" si="83"/>
        <v>22528.375065412303</v>
      </c>
      <c r="C227" s="242">
        <f t="shared" si="83"/>
        <v>8111.2408192688426</v>
      </c>
      <c r="D227" s="242">
        <f t="shared" si="83"/>
        <v>13767.642719243982</v>
      </c>
      <c r="E227" s="242">
        <f t="shared" si="83"/>
        <v>19994.469897408319</v>
      </c>
      <c r="F227" s="242">
        <f t="shared" si="83"/>
        <v>13767.642719243982</v>
      </c>
      <c r="G227" s="242">
        <f t="shared" si="83"/>
        <v>13767.642719243982</v>
      </c>
      <c r="H227" s="242">
        <f t="shared" si="83"/>
        <v>0</v>
      </c>
      <c r="I227" s="242">
        <f t="shared" si="83"/>
        <v>0</v>
      </c>
      <c r="J227" s="242">
        <f t="shared" si="83"/>
        <v>0</v>
      </c>
      <c r="K227" s="242">
        <f t="shared" si="86"/>
        <v>91937.013939821423</v>
      </c>
      <c r="L227" s="242"/>
      <c r="M227" s="242">
        <f t="shared" si="84"/>
        <v>91937.013939821423</v>
      </c>
      <c r="N227" s="245">
        <f t="shared" si="85"/>
        <v>60146.527581080212</v>
      </c>
      <c r="O227" s="236"/>
    </row>
    <row r="228" spans="1:15" hidden="1" x14ac:dyDescent="0.15">
      <c r="A228" s="175" t="s">
        <v>305</v>
      </c>
      <c r="B228" s="247">
        <f t="shared" si="83"/>
        <v>22528.375065412303</v>
      </c>
      <c r="C228" s="247">
        <f t="shared" si="83"/>
        <v>8111.2408192688426</v>
      </c>
      <c r="D228" s="247">
        <f t="shared" si="83"/>
        <v>13767.642719243982</v>
      </c>
      <c r="E228" s="247">
        <f t="shared" si="83"/>
        <v>19994.469897408319</v>
      </c>
      <c r="F228" s="247">
        <f t="shared" si="83"/>
        <v>13767.642719243982</v>
      </c>
      <c r="G228" s="247">
        <f t="shared" si="83"/>
        <v>13767.642719243982</v>
      </c>
      <c r="H228" s="247">
        <f t="shared" si="83"/>
        <v>0</v>
      </c>
      <c r="I228" s="247">
        <f t="shared" si="83"/>
        <v>0</v>
      </c>
      <c r="J228" s="247">
        <f t="shared" si="83"/>
        <v>0</v>
      </c>
      <c r="K228" s="247">
        <f t="shared" si="86"/>
        <v>91937.013939821423</v>
      </c>
      <c r="L228" s="247"/>
      <c r="M228" s="247">
        <f t="shared" si="84"/>
        <v>91937.013939821423</v>
      </c>
      <c r="N228" s="256">
        <f t="shared" si="85"/>
        <v>60146.527581080212</v>
      </c>
      <c r="O228" s="236"/>
    </row>
    <row r="229" spans="1:15" hidden="1" x14ac:dyDescent="0.15">
      <c r="A229" s="209" t="s">
        <v>18</v>
      </c>
      <c r="B229" s="257">
        <f t="shared" ref="B229:J229" si="87">INDEX($A$172:$N$179,MATCH($A222,$A$172:$A$179,0),MATCH(B$20,$A$172:$N$172,0))</f>
        <v>39321.964991943103</v>
      </c>
      <c r="C229" s="257">
        <f t="shared" si="87"/>
        <v>11380.48284227964</v>
      </c>
      <c r="D229" s="257">
        <f t="shared" si="87"/>
        <v>19228.617782757956</v>
      </c>
      <c r="E229" s="257">
        <f t="shared" si="87"/>
        <v>27945.76773303291</v>
      </c>
      <c r="F229" s="257">
        <f t="shared" si="87"/>
        <v>19228.617782757956</v>
      </c>
      <c r="G229" s="257">
        <f t="shared" si="87"/>
        <v>19228.617782757956</v>
      </c>
      <c r="H229" s="257">
        <f t="shared" si="87"/>
        <v>0</v>
      </c>
      <c r="I229" s="257">
        <f t="shared" si="87"/>
        <v>0</v>
      </c>
      <c r="J229" s="257">
        <f t="shared" si="87"/>
        <v>0</v>
      </c>
      <c r="K229" s="257">
        <f t="shared" si="86"/>
        <v>136334.06891552953</v>
      </c>
      <c r="L229" s="257">
        <f t="shared" ref="L229:L243" si="88">COUNTIF(B229:J229,"&lt;&gt;0")</f>
        <v>6</v>
      </c>
      <c r="M229" s="257">
        <f t="shared" ref="M229:M235" si="89">IF($P$171-$L$222-$L$229&gt;0,$K229,INDEX($A$199:$K$206,MATCH($A229,$A$199:$A$206,0),MATCH(MAX(($P$171-$L$222),0),$A$199:$K$199,0)))</f>
        <v>136334.06891552953</v>
      </c>
      <c r="N229" s="258">
        <f t="shared" ref="N229:N235" si="90">IF($P$171-$L$222-$L$229&gt;0,$K147,INDEX($A$191:$K$198,MATCH($A229,$A$191:$A$198,0),MATCH(MAX(($P$171-$L$222),0),$A$191:$K$191,0)))</f>
        <v>90136.924059015466</v>
      </c>
      <c r="O229" s="236"/>
    </row>
    <row r="230" spans="1:15" hidden="1" x14ac:dyDescent="0.15">
      <c r="A230" s="208" t="s">
        <v>19</v>
      </c>
      <c r="B230" s="242">
        <f t="shared" ref="B230:J230" si="91">INDEX($A$172:$N$179,MATCH($A223,$A$172:$A$179,0),MATCH(B$20,$A$172:$N$172,0))</f>
        <v>34693.043031184905</v>
      </c>
      <c r="C230" s="242">
        <f t="shared" si="91"/>
        <v>10040.789697151875</v>
      </c>
      <c r="D230" s="242">
        <f t="shared" si="91"/>
        <v>16965.054119348177</v>
      </c>
      <c r="E230" s="242">
        <f t="shared" si="91"/>
        <v>24656.034425041078</v>
      </c>
      <c r="F230" s="242">
        <f t="shared" si="91"/>
        <v>16965.054119348177</v>
      </c>
      <c r="G230" s="242">
        <f t="shared" si="91"/>
        <v>16965.054119348177</v>
      </c>
      <c r="H230" s="242">
        <f t="shared" si="91"/>
        <v>0</v>
      </c>
      <c r="I230" s="242">
        <f t="shared" si="91"/>
        <v>0</v>
      </c>
      <c r="J230" s="242">
        <f t="shared" si="91"/>
        <v>0</v>
      </c>
      <c r="K230" s="242">
        <f t="shared" si="86"/>
        <v>120285.02951142238</v>
      </c>
      <c r="L230" s="242"/>
      <c r="M230" s="242">
        <f t="shared" si="89"/>
        <v>120285.02951142238</v>
      </c>
      <c r="N230" s="245">
        <f t="shared" si="90"/>
        <v>79526.142341025014</v>
      </c>
      <c r="O230" s="236"/>
    </row>
    <row r="231" spans="1:15" hidden="1" x14ac:dyDescent="0.15">
      <c r="A231" s="208" t="s">
        <v>20</v>
      </c>
      <c r="B231" s="242">
        <f t="shared" ref="B231:J231" si="92">INDEX($A$172:$N$179,MATCH($A224,$A$172:$A$179,0),MATCH(B$20,$A$172:$N$172,0))</f>
        <v>29796.263095560651</v>
      </c>
      <c r="C231" s="242">
        <f t="shared" si="92"/>
        <v>8617.2243672092554</v>
      </c>
      <c r="D231" s="242">
        <f t="shared" si="92"/>
        <v>14577.242128738255</v>
      </c>
      <c r="E231" s="242">
        <f t="shared" si="92"/>
        <v>21181.65603907737</v>
      </c>
      <c r="F231" s="242">
        <f t="shared" si="92"/>
        <v>14577.242128738255</v>
      </c>
      <c r="G231" s="242">
        <f t="shared" si="92"/>
        <v>14577.242128738255</v>
      </c>
      <c r="H231" s="242">
        <f t="shared" si="92"/>
        <v>0</v>
      </c>
      <c r="I231" s="242">
        <f t="shared" si="92"/>
        <v>0</v>
      </c>
      <c r="J231" s="242">
        <f t="shared" si="92"/>
        <v>0</v>
      </c>
      <c r="K231" s="242">
        <f t="shared" si="86"/>
        <v>103326.86988806205</v>
      </c>
      <c r="L231" s="242"/>
      <c r="M231" s="242">
        <f t="shared" si="89"/>
        <v>103326.86988806205</v>
      </c>
      <c r="N231" s="245">
        <f t="shared" si="90"/>
        <v>68121.009156387532</v>
      </c>
      <c r="O231" s="236"/>
    </row>
    <row r="232" spans="1:15" hidden="1" x14ac:dyDescent="0.15">
      <c r="A232" s="208" t="s">
        <v>298</v>
      </c>
      <c r="B232" s="242">
        <f t="shared" ref="B232:J232" si="93">INDEX($A$172:$N$179,MATCH($A225,$A$172:$A$179,0),MATCH(B$20,$A$172:$N$172,0))</f>
        <v>21058.046943594425</v>
      </c>
      <c r="C232" s="242">
        <f t="shared" si="93"/>
        <v>6068.8346636223332</v>
      </c>
      <c r="D232" s="242">
        <f t="shared" si="93"/>
        <v>10324.787587751334</v>
      </c>
      <c r="E232" s="242">
        <f t="shared" si="93"/>
        <v>14988.95269752965</v>
      </c>
      <c r="F232" s="242">
        <f t="shared" si="93"/>
        <v>10324.787587751334</v>
      </c>
      <c r="G232" s="242">
        <f t="shared" si="93"/>
        <v>10324.787587751334</v>
      </c>
      <c r="H232" s="242">
        <f t="shared" si="93"/>
        <v>0</v>
      </c>
      <c r="I232" s="242">
        <f t="shared" si="93"/>
        <v>0</v>
      </c>
      <c r="J232" s="242">
        <f t="shared" si="93"/>
        <v>0</v>
      </c>
      <c r="K232" s="242">
        <f t="shared" si="86"/>
        <v>73090.197068000416</v>
      </c>
      <c r="L232" s="242"/>
      <c r="M232" s="242">
        <f t="shared" si="89"/>
        <v>73090.197068000416</v>
      </c>
      <c r="N232" s="245">
        <f t="shared" si="90"/>
        <v>47539.734182288041</v>
      </c>
      <c r="O232" s="236"/>
    </row>
    <row r="233" spans="1:15" hidden="1" x14ac:dyDescent="0.15">
      <c r="A233" s="208" t="s">
        <v>301</v>
      </c>
      <c r="B233" s="242">
        <f t="shared" ref="B233:J233" si="94">INDEX($A$172:$N$179,MATCH($A226,$A$172:$A$179,0),MATCH(B$20,$A$172:$N$172,0))</f>
        <v>28104.912841069763</v>
      </c>
      <c r="C233" s="242">
        <f t="shared" si="94"/>
        <v>8111.2408192688426</v>
      </c>
      <c r="D233" s="242">
        <f t="shared" si="94"/>
        <v>13767.642719243982</v>
      </c>
      <c r="E233" s="242">
        <f t="shared" si="94"/>
        <v>19994.469897408319</v>
      </c>
      <c r="F233" s="242">
        <f t="shared" si="94"/>
        <v>13767.642719243982</v>
      </c>
      <c r="G233" s="242">
        <f t="shared" si="94"/>
        <v>13767.642719243982</v>
      </c>
      <c r="H233" s="242">
        <f t="shared" si="94"/>
        <v>0</v>
      </c>
      <c r="I233" s="242">
        <f t="shared" si="94"/>
        <v>0</v>
      </c>
      <c r="J233" s="242">
        <f t="shared" si="94"/>
        <v>0</v>
      </c>
      <c r="K233" s="242">
        <f t="shared" si="86"/>
        <v>97513.551715478883</v>
      </c>
      <c r="L233" s="242"/>
      <c r="M233" s="242">
        <f t="shared" si="89"/>
        <v>97513.551715478883</v>
      </c>
      <c r="N233" s="245">
        <f t="shared" si="90"/>
        <v>63775.962654540606</v>
      </c>
      <c r="O233" s="236"/>
    </row>
    <row r="234" spans="1:15" hidden="1" x14ac:dyDescent="0.15">
      <c r="A234" s="208" t="s">
        <v>303</v>
      </c>
      <c r="B234" s="242">
        <f t="shared" ref="B234:J234" si="95">INDEX($A$172:$N$179,MATCH($A227,$A$172:$A$179,0),MATCH(B$20,$A$172:$N$172,0))</f>
        <v>28104.912841069763</v>
      </c>
      <c r="C234" s="242">
        <f t="shared" si="95"/>
        <v>8111.2408192688426</v>
      </c>
      <c r="D234" s="242">
        <f t="shared" si="95"/>
        <v>13767.642719243982</v>
      </c>
      <c r="E234" s="242">
        <f t="shared" si="95"/>
        <v>19994.469897408319</v>
      </c>
      <c r="F234" s="242">
        <f t="shared" si="95"/>
        <v>13767.642719243982</v>
      </c>
      <c r="G234" s="242">
        <f t="shared" si="95"/>
        <v>13767.642719243982</v>
      </c>
      <c r="H234" s="242">
        <f t="shared" si="95"/>
        <v>0</v>
      </c>
      <c r="I234" s="242">
        <f t="shared" si="95"/>
        <v>0</v>
      </c>
      <c r="J234" s="242">
        <f t="shared" si="95"/>
        <v>0</v>
      </c>
      <c r="K234" s="242">
        <f t="shared" si="86"/>
        <v>97513.551715478883</v>
      </c>
      <c r="L234" s="242"/>
      <c r="M234" s="242">
        <f t="shared" si="89"/>
        <v>97513.551715478883</v>
      </c>
      <c r="N234" s="245">
        <f t="shared" si="90"/>
        <v>63775.962654540606</v>
      </c>
      <c r="O234" s="236"/>
    </row>
    <row r="235" spans="1:15" hidden="1" x14ac:dyDescent="0.15">
      <c r="A235" s="175" t="s">
        <v>305</v>
      </c>
      <c r="B235" s="247">
        <f t="shared" ref="B235:J235" si="96">INDEX($A$172:$N$179,MATCH($A228,$A$172:$A$179,0),MATCH(B$20,$A$172:$N$172,0))</f>
        <v>28104.912841069763</v>
      </c>
      <c r="C235" s="247">
        <f t="shared" si="96"/>
        <v>8111.2408192688426</v>
      </c>
      <c r="D235" s="247">
        <f t="shared" si="96"/>
        <v>13767.642719243982</v>
      </c>
      <c r="E235" s="247">
        <f t="shared" si="96"/>
        <v>19994.469897408319</v>
      </c>
      <c r="F235" s="247">
        <f t="shared" si="96"/>
        <v>13767.642719243982</v>
      </c>
      <c r="G235" s="247">
        <f t="shared" si="96"/>
        <v>13767.642719243982</v>
      </c>
      <c r="H235" s="247">
        <f t="shared" si="96"/>
        <v>0</v>
      </c>
      <c r="I235" s="247">
        <f t="shared" si="96"/>
        <v>0</v>
      </c>
      <c r="J235" s="247">
        <f t="shared" si="96"/>
        <v>0</v>
      </c>
      <c r="K235" s="247">
        <f t="shared" si="86"/>
        <v>97513.551715478883</v>
      </c>
      <c r="L235" s="247"/>
      <c r="M235" s="247">
        <f t="shared" si="89"/>
        <v>97513.551715478883</v>
      </c>
      <c r="N235" s="256">
        <f t="shared" si="90"/>
        <v>63775.962654540606</v>
      </c>
      <c r="O235" s="236"/>
    </row>
    <row r="236" spans="1:15" hidden="1" x14ac:dyDescent="0.15">
      <c r="A236" s="209" t="s">
        <v>18</v>
      </c>
      <c r="B236" s="257">
        <f t="shared" ref="B236:J236" si="97">INDEX($A$172:$N$179,MATCH($A222,$A$172:$A$179,0),MATCH(B$22,$A$172:$N$172,0))</f>
        <v>48128.013569439368</v>
      </c>
      <c r="C236" s="257">
        <f t="shared" si="97"/>
        <v>11380.48284227964</v>
      </c>
      <c r="D236" s="257">
        <f t="shared" si="97"/>
        <v>19228.617782757956</v>
      </c>
      <c r="E236" s="257">
        <f t="shared" si="97"/>
        <v>27945.76773303291</v>
      </c>
      <c r="F236" s="257">
        <f t="shared" si="97"/>
        <v>19228.617782757956</v>
      </c>
      <c r="G236" s="257">
        <f t="shared" si="97"/>
        <v>19228.617782757956</v>
      </c>
      <c r="H236" s="257">
        <f t="shared" si="97"/>
        <v>0</v>
      </c>
      <c r="I236" s="257">
        <f t="shared" si="97"/>
        <v>0</v>
      </c>
      <c r="J236" s="257">
        <f t="shared" si="97"/>
        <v>0</v>
      </c>
      <c r="K236" s="257">
        <f t="shared" si="86"/>
        <v>145140.11749302578</v>
      </c>
      <c r="L236" s="257">
        <f t="shared" si="88"/>
        <v>6</v>
      </c>
      <c r="M236" s="257">
        <f t="shared" ref="M236:M242" si="98">IF($P$171-$L$222-$L$229-$L$236&gt;0,$K236,INDEX($A$199:$K$206,MATCH($A236,$A$199:$A$206,0),MATCH(MAX(($P$171-$L$222-$L$229),0),$A$199:$K$199,0)))</f>
        <v>76196.504533993182</v>
      </c>
      <c r="N236" s="258">
        <f t="shared" ref="N236:N242" si="99">IF($P$171-$L$222-$L$229-$L$236&gt;0,$K155,INDEX($A$191:$K$198,MATCH($A236,$A$191:$A$198,0),MATCH(MAX(($P$171-$L$222-$L$229),0),$A$191:$K$191,0)))</f>
        <v>50254.895495380115</v>
      </c>
      <c r="O236" s="236"/>
    </row>
    <row r="237" spans="1:15" hidden="1" x14ac:dyDescent="0.15">
      <c r="A237" s="208" t="s">
        <v>19</v>
      </c>
      <c r="B237" s="242">
        <f t="shared" ref="B237:J237" si="100">INDEX($A$172:$N$179,MATCH($A223,$A$172:$A$179,0),MATCH(B$22,$A$172:$N$172,0))</f>
        <v>42462.456952803012</v>
      </c>
      <c r="C237" s="242">
        <f t="shared" si="100"/>
        <v>10040.789697151875</v>
      </c>
      <c r="D237" s="242">
        <f t="shared" si="100"/>
        <v>16965.054119348177</v>
      </c>
      <c r="E237" s="242">
        <f t="shared" si="100"/>
        <v>24656.034425041078</v>
      </c>
      <c r="F237" s="242">
        <f t="shared" si="100"/>
        <v>16965.054119348177</v>
      </c>
      <c r="G237" s="242">
        <f t="shared" si="100"/>
        <v>16965.054119348177</v>
      </c>
      <c r="H237" s="242">
        <f t="shared" si="100"/>
        <v>0</v>
      </c>
      <c r="I237" s="242">
        <f t="shared" si="100"/>
        <v>0</v>
      </c>
      <c r="J237" s="242">
        <f t="shared" si="100"/>
        <v>0</v>
      </c>
      <c r="K237" s="242">
        <f t="shared" si="86"/>
        <v>128054.44343304049</v>
      </c>
      <c r="L237" s="242"/>
      <c r="M237" s="242">
        <f t="shared" si="98"/>
        <v>67226.767817054439</v>
      </c>
      <c r="N237" s="245">
        <f t="shared" si="99"/>
        <v>44338.965570671688</v>
      </c>
      <c r="O237" s="236"/>
    </row>
    <row r="238" spans="1:15" hidden="1" x14ac:dyDescent="0.15">
      <c r="A238" s="208" t="s">
        <v>20</v>
      </c>
      <c r="B238" s="242">
        <f t="shared" ref="B238:J238" si="101">INDEX($A$172:$N$179,MATCH($A224,$A$172:$A$179,0),MATCH(B$22,$A$172:$N$172,0))</f>
        <v>36469.056286367071</v>
      </c>
      <c r="C238" s="242">
        <f t="shared" si="101"/>
        <v>8617.2243672092554</v>
      </c>
      <c r="D238" s="242">
        <f t="shared" si="101"/>
        <v>14577.242128738255</v>
      </c>
      <c r="E238" s="242">
        <f t="shared" si="101"/>
        <v>21181.65603907737</v>
      </c>
      <c r="F238" s="242">
        <f t="shared" si="101"/>
        <v>14577.242128738255</v>
      </c>
      <c r="G238" s="242">
        <f t="shared" si="101"/>
        <v>14577.242128738255</v>
      </c>
      <c r="H238" s="242">
        <f t="shared" si="101"/>
        <v>0</v>
      </c>
      <c r="I238" s="242">
        <f t="shared" si="101"/>
        <v>0</v>
      </c>
      <c r="J238" s="242">
        <f t="shared" si="101"/>
        <v>0</v>
      </c>
      <c r="K238" s="242">
        <f t="shared" si="86"/>
        <v>109999.66307886847</v>
      </c>
      <c r="L238" s="242"/>
      <c r="M238" s="242">
        <f t="shared" si="98"/>
        <v>57744.722237774127</v>
      </c>
      <c r="N238" s="245">
        <f t="shared" si="99"/>
        <v>37975.622110952208</v>
      </c>
      <c r="O238" s="236"/>
    </row>
    <row r="239" spans="1:15" hidden="1" x14ac:dyDescent="0.15">
      <c r="A239" s="208" t="s">
        <v>298</v>
      </c>
      <c r="B239" s="242">
        <f t="shared" ref="B239:J239" si="102">INDEX($A$172:$N$179,MATCH($A225,$A$172:$A$179,0),MATCH(B$22,$A$172:$N$172,0))</f>
        <v>25773.940067716903</v>
      </c>
      <c r="C239" s="242">
        <f t="shared" si="102"/>
        <v>6068.8346636223332</v>
      </c>
      <c r="D239" s="242">
        <f t="shared" si="102"/>
        <v>10324.787587751334</v>
      </c>
      <c r="E239" s="242">
        <f t="shared" si="102"/>
        <v>14988.95269752965</v>
      </c>
      <c r="F239" s="242">
        <f t="shared" si="102"/>
        <v>10324.787587751334</v>
      </c>
      <c r="G239" s="242">
        <f t="shared" si="102"/>
        <v>10324.787587751334</v>
      </c>
      <c r="H239" s="242">
        <f t="shared" si="102"/>
        <v>0</v>
      </c>
      <c r="I239" s="242">
        <f t="shared" si="102"/>
        <v>0</v>
      </c>
      <c r="J239" s="242">
        <f t="shared" si="102"/>
        <v>0</v>
      </c>
      <c r="K239" s="242">
        <f t="shared" si="86"/>
        <v>77806.09019212288</v>
      </c>
      <c r="L239" s="242"/>
      <c r="M239" s="242">
        <f t="shared" si="98"/>
        <v>40832.734831249516</v>
      </c>
      <c r="N239" s="245">
        <f t="shared" si="99"/>
        <v>26486.908372037022</v>
      </c>
      <c r="O239" s="236"/>
    </row>
    <row r="240" spans="1:15" hidden="1" x14ac:dyDescent="0.15">
      <c r="A240" s="208" t="s">
        <v>301</v>
      </c>
      <c r="B240" s="242">
        <f t="shared" ref="B240:J240" si="103">INDEX($A$172:$N$179,MATCH($A226,$A$172:$A$179,0),MATCH(B$22,$A$172:$N$172,0))</f>
        <v>34398.932679484991</v>
      </c>
      <c r="C240" s="242">
        <f t="shared" si="103"/>
        <v>8111.2408192688426</v>
      </c>
      <c r="D240" s="242">
        <f t="shared" si="103"/>
        <v>13767.642719243982</v>
      </c>
      <c r="E240" s="242">
        <f t="shared" si="103"/>
        <v>19994.469897408319</v>
      </c>
      <c r="F240" s="242">
        <f t="shared" si="103"/>
        <v>13767.642719243982</v>
      </c>
      <c r="G240" s="242">
        <f t="shared" si="103"/>
        <v>13767.642719243982</v>
      </c>
      <c r="H240" s="242">
        <f t="shared" si="103"/>
        <v>0</v>
      </c>
      <c r="I240" s="242">
        <f t="shared" si="103"/>
        <v>0</v>
      </c>
      <c r="J240" s="242">
        <f t="shared" si="103"/>
        <v>0</v>
      </c>
      <c r="K240" s="242">
        <f t="shared" si="86"/>
        <v>103807.57155389411</v>
      </c>
      <c r="L240" s="242"/>
      <c r="M240" s="242">
        <f t="shared" si="98"/>
        <v>54484.770975969019</v>
      </c>
      <c r="N240" s="245">
        <f t="shared" si="99"/>
        <v>35541.328528030703</v>
      </c>
      <c r="O240" s="236"/>
    </row>
    <row r="241" spans="1:15" hidden="1" x14ac:dyDescent="0.15">
      <c r="A241" s="208" t="s">
        <v>303</v>
      </c>
      <c r="B241" s="242">
        <f t="shared" ref="B241:J241" si="104">INDEX($A$172:$N$179,MATCH($A227,$A$172:$A$179,0),MATCH(B$22,$A$172:$N$172,0))</f>
        <v>34398.932679484991</v>
      </c>
      <c r="C241" s="242">
        <f t="shared" si="104"/>
        <v>8111.2408192688426</v>
      </c>
      <c r="D241" s="242">
        <f t="shared" si="104"/>
        <v>13767.642719243982</v>
      </c>
      <c r="E241" s="242">
        <f t="shared" si="104"/>
        <v>19994.469897408319</v>
      </c>
      <c r="F241" s="242">
        <f t="shared" si="104"/>
        <v>13767.642719243982</v>
      </c>
      <c r="G241" s="242">
        <f t="shared" si="104"/>
        <v>13767.642719243982</v>
      </c>
      <c r="H241" s="242">
        <f t="shared" si="104"/>
        <v>0</v>
      </c>
      <c r="I241" s="242">
        <f t="shared" si="104"/>
        <v>0</v>
      </c>
      <c r="J241" s="242">
        <f t="shared" si="104"/>
        <v>0</v>
      </c>
      <c r="K241" s="242">
        <f t="shared" si="86"/>
        <v>103807.57155389411</v>
      </c>
      <c r="L241" s="242"/>
      <c r="M241" s="242">
        <f t="shared" si="98"/>
        <v>54484.770975969019</v>
      </c>
      <c r="N241" s="245">
        <f t="shared" si="99"/>
        <v>35541.328528030703</v>
      </c>
      <c r="O241" s="236"/>
    </row>
    <row r="242" spans="1:15" hidden="1" x14ac:dyDescent="0.15">
      <c r="A242" s="175" t="s">
        <v>305</v>
      </c>
      <c r="B242" s="247">
        <f t="shared" ref="B242:J242" si="105">INDEX($A$172:$N$179,MATCH($A228,$A$172:$A$179,0),MATCH(B$22,$A$172:$N$172,0))</f>
        <v>34398.932679484991</v>
      </c>
      <c r="C242" s="247">
        <f t="shared" si="105"/>
        <v>8111.2408192688426</v>
      </c>
      <c r="D242" s="247">
        <f t="shared" si="105"/>
        <v>13767.642719243982</v>
      </c>
      <c r="E242" s="247">
        <f t="shared" si="105"/>
        <v>19994.469897408319</v>
      </c>
      <c r="F242" s="247">
        <f t="shared" si="105"/>
        <v>13767.642719243982</v>
      </c>
      <c r="G242" s="247">
        <f t="shared" si="105"/>
        <v>13767.642719243982</v>
      </c>
      <c r="H242" s="247">
        <f t="shared" si="105"/>
        <v>0</v>
      </c>
      <c r="I242" s="247">
        <f t="shared" si="105"/>
        <v>0</v>
      </c>
      <c r="J242" s="247">
        <f t="shared" si="105"/>
        <v>0</v>
      </c>
      <c r="K242" s="247">
        <f t="shared" si="86"/>
        <v>103807.57155389411</v>
      </c>
      <c r="L242" s="247"/>
      <c r="M242" s="247">
        <f t="shared" si="98"/>
        <v>54484.770975969019</v>
      </c>
      <c r="N242" s="256">
        <f t="shared" si="99"/>
        <v>35541.328528030703</v>
      </c>
      <c r="O242" s="236"/>
    </row>
    <row r="243" spans="1:15" hidden="1" x14ac:dyDescent="0.15">
      <c r="A243" s="210" t="s">
        <v>18</v>
      </c>
      <c r="B243" s="259">
        <f t="shared" ref="B243:J243" si="106">INDEX($A$172:$N$179,MATCH($A222,$A$172:$A$179,0),MATCH(B$24,$A$172:$N$172,0))</f>
        <v>56967.88675123523</v>
      </c>
      <c r="C243" s="259">
        <f t="shared" si="106"/>
        <v>19228.617782757956</v>
      </c>
      <c r="D243" s="259">
        <f t="shared" si="106"/>
        <v>19228.617782757956</v>
      </c>
      <c r="E243" s="259">
        <f t="shared" si="106"/>
        <v>27945.76773303291</v>
      </c>
      <c r="F243" s="259">
        <f t="shared" si="106"/>
        <v>19228.617782757956</v>
      </c>
      <c r="G243" s="259">
        <f t="shared" si="106"/>
        <v>19228.617782757956</v>
      </c>
      <c r="H243" s="259">
        <f t="shared" si="106"/>
        <v>0</v>
      </c>
      <c r="I243" s="259">
        <f t="shared" si="106"/>
        <v>0</v>
      </c>
      <c r="J243" s="259">
        <f t="shared" si="106"/>
        <v>0</v>
      </c>
      <c r="K243" s="259">
        <f t="shared" si="86"/>
        <v>161828.12561529997</v>
      </c>
      <c r="L243" s="259">
        <f t="shared" si="88"/>
        <v>6</v>
      </c>
      <c r="M243" s="259">
        <f t="shared" ref="M243:M249" si="107">IF($P$171-$L$222-$L$229-$L$236-$L$243&gt;0,$K243,INDEX($A$199:$K$206,MATCH($A243,$A$199:$A$206,0),MATCH(MAX(($P$171-$L$222-$L$229-$L$236),0),$A$199:$K$199,0)))</f>
        <v>0</v>
      </c>
      <c r="N243" s="260">
        <f t="shared" ref="N243:N249" si="108">IF($P$171-$L$222-$L$229-$L$236-$L$243&gt;0,$K163,INDEX($A$191:$K$198,MATCH($A243,$A$191:$A$198,0),MATCH(MAX(($P$171-$L$222-$L$229-$L$236),0),$A$191:$K$191,0)))</f>
        <v>0</v>
      </c>
      <c r="O243" s="236"/>
    </row>
    <row r="244" spans="1:15" hidden="1" x14ac:dyDescent="0.15">
      <c r="A244" s="208" t="s">
        <v>19</v>
      </c>
      <c r="B244" s="242">
        <f t="shared" ref="B244:J244" si="109">INDEX($A$172:$N$179,MATCH($A223,$A$172:$A$179,0),MATCH(B$24,$A$172:$N$172,0))</f>
        <v>50261.713697706255</v>
      </c>
      <c r="C244" s="242">
        <f t="shared" si="109"/>
        <v>16965.054119348177</v>
      </c>
      <c r="D244" s="242">
        <f t="shared" si="109"/>
        <v>16965.054119348177</v>
      </c>
      <c r="E244" s="242">
        <f t="shared" si="109"/>
        <v>24656.034425041078</v>
      </c>
      <c r="F244" s="242">
        <f t="shared" si="109"/>
        <v>16965.054119348177</v>
      </c>
      <c r="G244" s="242">
        <f t="shared" si="109"/>
        <v>16965.054119348177</v>
      </c>
      <c r="H244" s="242">
        <f t="shared" si="109"/>
        <v>0</v>
      </c>
      <c r="I244" s="242">
        <f t="shared" si="109"/>
        <v>0</v>
      </c>
      <c r="J244" s="242">
        <f t="shared" si="109"/>
        <v>0</v>
      </c>
      <c r="K244" s="242">
        <f t="shared" si="86"/>
        <v>142777.96460014005</v>
      </c>
      <c r="L244" s="242"/>
      <c r="M244" s="242">
        <f t="shared" si="107"/>
        <v>0</v>
      </c>
      <c r="N244" s="245">
        <f t="shared" si="108"/>
        <v>0</v>
      </c>
      <c r="O244" s="236"/>
    </row>
    <row r="245" spans="1:15" hidden="1" x14ac:dyDescent="0.15">
      <c r="A245" s="208" t="s">
        <v>20</v>
      </c>
      <c r="B245" s="242">
        <f t="shared" ref="B245:J245" si="110">INDEX($A$172:$N$179,MATCH($A224,$A$172:$A$179,0),MATCH(B$24,$A$172:$N$172,0))</f>
        <v>43167.480109035874</v>
      </c>
      <c r="C245" s="242">
        <f t="shared" si="110"/>
        <v>14577.242128738255</v>
      </c>
      <c r="D245" s="242">
        <f t="shared" si="110"/>
        <v>14577.242128738255</v>
      </c>
      <c r="E245" s="242">
        <f t="shared" si="110"/>
        <v>21181.65603907737</v>
      </c>
      <c r="F245" s="242">
        <f t="shared" si="110"/>
        <v>14577.242128738255</v>
      </c>
      <c r="G245" s="242">
        <f t="shared" si="110"/>
        <v>14577.242128738255</v>
      </c>
      <c r="H245" s="242">
        <f t="shared" si="110"/>
        <v>0</v>
      </c>
      <c r="I245" s="242">
        <f t="shared" si="110"/>
        <v>0</v>
      </c>
      <c r="J245" s="242">
        <f t="shared" si="110"/>
        <v>0</v>
      </c>
      <c r="K245" s="242">
        <f t="shared" si="86"/>
        <v>122658.10466306627</v>
      </c>
      <c r="L245" s="242"/>
      <c r="M245" s="242">
        <f t="shared" si="107"/>
        <v>0</v>
      </c>
      <c r="N245" s="245">
        <f t="shared" si="108"/>
        <v>0</v>
      </c>
      <c r="O245" s="236"/>
    </row>
    <row r="246" spans="1:15" hidden="1" x14ac:dyDescent="0.15">
      <c r="A246" s="208" t="s">
        <v>298</v>
      </c>
      <c r="B246" s="242">
        <f t="shared" ref="B246:J246" si="111">INDEX($A$172:$N$179,MATCH($A225,$A$172:$A$179,0),MATCH(B$24,$A$172:$N$172,0))</f>
        <v>30507.94724349818</v>
      </c>
      <c r="C246" s="242">
        <f t="shared" si="111"/>
        <v>10324.787587751334</v>
      </c>
      <c r="D246" s="242">
        <f t="shared" si="111"/>
        <v>10324.787587751334</v>
      </c>
      <c r="E246" s="242">
        <f t="shared" si="111"/>
        <v>14988.95269752965</v>
      </c>
      <c r="F246" s="242">
        <f t="shared" si="111"/>
        <v>10324.787587751334</v>
      </c>
      <c r="G246" s="242">
        <f t="shared" si="111"/>
        <v>10324.787587751334</v>
      </c>
      <c r="H246" s="242">
        <f t="shared" si="111"/>
        <v>0</v>
      </c>
      <c r="I246" s="242">
        <f t="shared" si="111"/>
        <v>0</v>
      </c>
      <c r="J246" s="242">
        <f t="shared" si="111"/>
        <v>0</v>
      </c>
      <c r="K246" s="242">
        <f t="shared" si="86"/>
        <v>86796.050292033164</v>
      </c>
      <c r="L246" s="242"/>
      <c r="M246" s="242">
        <f t="shared" si="107"/>
        <v>0</v>
      </c>
      <c r="N246" s="245">
        <f t="shared" si="108"/>
        <v>0</v>
      </c>
      <c r="O246" s="236"/>
    </row>
    <row r="247" spans="1:15" hidden="1" x14ac:dyDescent="0.15">
      <c r="A247" s="208" t="s">
        <v>301</v>
      </c>
      <c r="B247" s="242">
        <f t="shared" ref="B247:J247" si="112">INDEX($A$172:$N$179,MATCH($A226,$A$172:$A$179,0),MATCH(B$24,$A$172:$N$172,0))</f>
        <v>40717.128256725038</v>
      </c>
      <c r="C247" s="242">
        <f t="shared" si="112"/>
        <v>13767.642719243982</v>
      </c>
      <c r="D247" s="242">
        <f t="shared" si="112"/>
        <v>13767.642719243982</v>
      </c>
      <c r="E247" s="242">
        <f t="shared" si="112"/>
        <v>19994.469897408319</v>
      </c>
      <c r="F247" s="242">
        <f t="shared" si="112"/>
        <v>13767.642719243982</v>
      </c>
      <c r="G247" s="242">
        <f t="shared" si="112"/>
        <v>13767.642719243982</v>
      </c>
      <c r="H247" s="242">
        <f t="shared" si="112"/>
        <v>0</v>
      </c>
      <c r="I247" s="242">
        <f t="shared" si="112"/>
        <v>0</v>
      </c>
      <c r="J247" s="242">
        <f t="shared" si="112"/>
        <v>0</v>
      </c>
      <c r="K247" s="242">
        <f t="shared" si="86"/>
        <v>115782.1690311093</v>
      </c>
      <c r="L247" s="242"/>
      <c r="M247" s="242">
        <f t="shared" si="107"/>
        <v>0</v>
      </c>
      <c r="N247" s="245">
        <f t="shared" si="108"/>
        <v>0</v>
      </c>
      <c r="O247" s="236"/>
    </row>
    <row r="248" spans="1:15" hidden="1" x14ac:dyDescent="0.15">
      <c r="A248" s="208" t="s">
        <v>303</v>
      </c>
      <c r="B248" s="242">
        <f t="shared" ref="B248:J248" si="113">INDEX($A$172:$N$179,MATCH($A227,$A$172:$A$179,0),MATCH(B$24,$A$172:$N$172,0))</f>
        <v>40717.128256725038</v>
      </c>
      <c r="C248" s="242">
        <f t="shared" si="113"/>
        <v>13767.642719243982</v>
      </c>
      <c r="D248" s="242">
        <f t="shared" si="113"/>
        <v>13767.642719243982</v>
      </c>
      <c r="E248" s="242">
        <f t="shared" si="113"/>
        <v>19994.469897408319</v>
      </c>
      <c r="F248" s="242">
        <f t="shared" si="113"/>
        <v>13767.642719243982</v>
      </c>
      <c r="G248" s="242">
        <f t="shared" si="113"/>
        <v>13767.642719243982</v>
      </c>
      <c r="H248" s="242">
        <f t="shared" si="113"/>
        <v>0</v>
      </c>
      <c r="I248" s="242">
        <f t="shared" si="113"/>
        <v>0</v>
      </c>
      <c r="J248" s="242">
        <f t="shared" si="113"/>
        <v>0</v>
      </c>
      <c r="K248" s="242">
        <f t="shared" si="86"/>
        <v>115782.1690311093</v>
      </c>
      <c r="L248" s="242"/>
      <c r="M248" s="242">
        <f t="shared" si="107"/>
        <v>0</v>
      </c>
      <c r="N248" s="245">
        <f t="shared" si="108"/>
        <v>0</v>
      </c>
      <c r="O248" s="236"/>
    </row>
    <row r="249" spans="1:15" hidden="1" x14ac:dyDescent="0.15">
      <c r="A249" s="208" t="s">
        <v>305</v>
      </c>
      <c r="B249" s="242">
        <f t="shared" ref="B249:J249" si="114">INDEX($A$172:$N$179,MATCH($A228,$A$172:$A$179,0),MATCH(B$24,$A$172:$N$172,0))</f>
        <v>40717.128256725038</v>
      </c>
      <c r="C249" s="242">
        <f t="shared" si="114"/>
        <v>13767.642719243982</v>
      </c>
      <c r="D249" s="242">
        <f t="shared" si="114"/>
        <v>13767.642719243982</v>
      </c>
      <c r="E249" s="242">
        <f t="shared" si="114"/>
        <v>19994.469897408319</v>
      </c>
      <c r="F249" s="242">
        <f t="shared" si="114"/>
        <v>13767.642719243982</v>
      </c>
      <c r="G249" s="242">
        <f t="shared" si="114"/>
        <v>13767.642719243982</v>
      </c>
      <c r="H249" s="242">
        <f t="shared" si="114"/>
        <v>0</v>
      </c>
      <c r="I249" s="242">
        <f t="shared" si="114"/>
        <v>0</v>
      </c>
      <c r="J249" s="242">
        <f t="shared" si="114"/>
        <v>0</v>
      </c>
      <c r="K249" s="242">
        <f t="shared" si="86"/>
        <v>115782.1690311093</v>
      </c>
      <c r="L249" s="242"/>
      <c r="M249" s="242">
        <f t="shared" si="107"/>
        <v>0</v>
      </c>
      <c r="N249" s="245">
        <f t="shared" si="108"/>
        <v>0</v>
      </c>
      <c r="O249" s="236"/>
    </row>
  </sheetData>
  <sheetProtection password="B25B" sheet="1" objects="1" scenarios="1" formatCells="0" formatColumns="0" formatRows="0" insertColumns="0" insertRows="0" insertHyperlinks="0" deleteColumns="0" deleteRows="0" sort="0" autoFilter="0" pivotTables="0"/>
  <mergeCells count="1">
    <mergeCell ref="P19:T25"/>
  </mergeCells>
  <phoneticPr fontId="1" type="noConversion"/>
  <dataValidations count="27">
    <dataValidation type="list" allowBlank="1" showInputMessage="1" showErrorMessage="1" sqref="E3">
      <formula1>"0,-0.25,-0.5"</formula1>
    </dataValidation>
    <dataValidation type="list" allowBlank="1" showInputMessage="1" showErrorMessage="1" sqref="G2">
      <formula1>"0,0.15,0.20,0.30,0.35,,0.45,0.50"</formula1>
    </dataValidation>
    <dataValidation type="list" allowBlank="1" showInputMessage="1" showErrorMessage="1" sqref="H2">
      <formula1>"0,0.01,0.02,0.03"</formula1>
    </dataValidation>
    <dataValidation type="list" allowBlank="1" showInputMessage="1" showErrorMessage="1" sqref="I4">
      <formula1>"0,0.5"</formula1>
    </dataValidation>
    <dataValidation type="list" allowBlank="1" showInputMessage="1" showErrorMessage="1" sqref="I5">
      <formula1>"0,-1,-2"</formula1>
    </dataValidation>
    <dataValidation type="list" allowBlank="1" showInputMessage="1" showErrorMessage="1" sqref="H5">
      <formula1>"0,0.02"</formula1>
    </dataValidation>
    <dataValidation type="list" allowBlank="1" showInputMessage="1" showErrorMessage="1" sqref="D9">
      <formula1>"雾锁,白虹,凝神聚气"</formula1>
    </dataValidation>
    <dataValidation type="list" allowBlank="1" showInputMessage="1" showErrorMessage="1" sqref="E9">
      <formula1>"霜锋,心固,吐故纳新"</formula1>
    </dataValidation>
    <dataValidation type="list" allowBlank="1" showInputMessage="1" showErrorMessage="1" sqref="F9">
      <formula1>"昆吾,不移,同尘,破苍穹"</formula1>
    </dataValidation>
    <dataValidation type="list" allowBlank="1" showInputMessage="1" showErrorMessage="1" sqref="G9">
      <formula1>"无形,无极,捉影,八卦洞玄"</formula1>
    </dataValidation>
    <dataValidation type="list" allowBlank="1" showInputMessage="1" showErrorMessage="1" sqref="H9">
      <formula1>"雨集,北辰,八荒六合,抱元守缺"</formula1>
    </dataValidation>
    <dataValidation type="list" allowBlank="1" showInputMessage="1" showErrorMessage="1" sqref="I9">
      <formula1>"解牛,太极,玄德,太牢"</formula1>
    </dataValidation>
    <dataValidation type="list" allowBlank="1" showInputMessage="1" showErrorMessage="1" sqref="D11">
      <formula1>"有涯,雾外江山,万物,冲阴阳"</formula1>
    </dataValidation>
    <dataValidation type="list" allowBlank="1" showInputMessage="1" showErrorMessage="1" sqref="E11">
      <formula1>"跬步,无我,归元,化三清"</formula1>
    </dataValidation>
    <dataValidation type="list" allowBlank="1" showInputMessage="1" showErrorMessage="1" sqref="F11">
      <formula1>"气竭,北斗,持而盈,天地根"</formula1>
    </dataValidation>
    <dataValidation type="list" allowBlank="1" showInputMessage="1" showErrorMessage="1" sqref="G11">
      <formula1>"期声,心眼,霜寒,临风"</formula1>
    </dataValidation>
    <dataValidation type="list" allowBlank="1" showInputMessage="1" showErrorMessage="1" sqref="H11">
      <formula1>"抱阳,凶年,平笃,自化"</formula1>
    </dataValidation>
    <dataValidation type="list" allowBlank="1" showInputMessage="1" showErrorMessage="1" sqref="I11">
      <formula1>"若水,固本,规焉,剑出鸿蒙"</formula1>
    </dataValidation>
    <dataValidation type="list" allowBlank="1" showInputMessage="1" showErrorMessage="1" sqref="N1">
      <formula1>"无,万蛊噬心阵,九宫八卦阵,七绝逍遥阵,天鼓雷音阵"</formula1>
    </dataValidation>
    <dataValidation type="whole" errorStyle="information" allowBlank="1" showInputMessage="1" showErrorMessage="1" error="战斗时间60-1000S" prompt="战斗时间_x000a_60-1000S" sqref="N18">
      <formula1>60</formula1>
      <formula2>100000</formula2>
    </dataValidation>
    <dataValidation type="list" allowBlank="1" showInputMessage="1" showErrorMessage="1" sqref="C18:J18 C22:J22 C20:J20">
      <formula1>"无,太极,四象,两仪"</formula1>
    </dataValidation>
    <dataValidation type="list" allowBlank="1" showInputMessage="1" showErrorMessage="1" sqref="C24:J24">
      <formula1>"无,四象,两仪"</formula1>
    </dataValidation>
    <dataValidation type="list" allowBlank="1" showInputMessage="1" showErrorMessage="1" sqref="B11">
      <formula1>"1,2,3,4,5,6,7,8"</formula1>
    </dataValidation>
    <dataValidation type="list" allowBlank="1" showInputMessage="1" showErrorMessage="1" sqref="B12">
      <formula1>"使用,不使用"</formula1>
    </dataValidation>
    <dataValidation type="list" allowBlank="1" showInputMessage="1" showErrorMessage="1" sqref="C17 E17">
      <formula1>"是,否"</formula1>
    </dataValidation>
    <dataValidation type="list" allowBlank="1" showInputMessage="1" showErrorMessage="1" sqref="G4:G5">
      <formula1>"0,0.03,0.04,0.05,0.07,0.08,0.09,0.12"</formula1>
    </dataValidation>
    <dataValidation type="list" allowBlank="1" showInputMessage="1" showErrorMessage="1" sqref="F2:F4">
      <formula1>"0,0.02,0.03,0.04,0.05,0.06,0.07,0.09"</formula1>
    </dataValidation>
  </dataValidations>
  <pageMargins left="0.7" right="0.7" top="0.75" bottom="0.75" header="0.3" footer="0.3"/>
  <pageSetup paperSize="9" orientation="landscape" horizontalDpi="0" verticalDpi="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130" r:id="rId4" name="Check Box 58">
              <controlPr defaultSize="0" autoFill="0" autoLine="0" autoPict="0" altText="">
                <anchor moveWithCells="1">
                  <from>
                    <xdr:col>16</xdr:col>
                    <xdr:colOff>495300</xdr:colOff>
                    <xdr:row>7</xdr:row>
                    <xdr:rowOff>9525</xdr:rowOff>
                  </from>
                  <to>
                    <xdr:col>16</xdr:col>
                    <xdr:colOff>695325</xdr:colOff>
                    <xdr:row>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1" r:id="rId5" name="Check Box 59">
              <controlPr defaultSize="0" autoFill="0" autoLine="0" autoPict="0" altText="">
                <anchor moveWithCells="1">
                  <from>
                    <xdr:col>12</xdr:col>
                    <xdr:colOff>352425</xdr:colOff>
                    <xdr:row>7</xdr:row>
                    <xdr:rowOff>9525</xdr:rowOff>
                  </from>
                  <to>
                    <xdr:col>12</xdr:col>
                    <xdr:colOff>561975</xdr:colOff>
                    <xdr:row>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2" r:id="rId6" name="Check Box 60">
              <controlPr defaultSize="0" autoFill="0" autoLine="0" autoPict="0" altText="">
                <anchor moveWithCells="1">
                  <from>
                    <xdr:col>12</xdr:col>
                    <xdr:colOff>361950</xdr:colOff>
                    <xdr:row>10</xdr:row>
                    <xdr:rowOff>9525</xdr:rowOff>
                  </from>
                  <to>
                    <xdr:col>12</xdr:col>
                    <xdr:colOff>571500</xdr:colOff>
                    <xdr:row>11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43" r:id="rId7" name="Check Box 71">
              <controlPr defaultSize="0" autoFill="0" autoLine="0" autoPict="0" altText="">
                <anchor moveWithCells="1">
                  <from>
                    <xdr:col>14</xdr:col>
                    <xdr:colOff>361950</xdr:colOff>
                    <xdr:row>10</xdr:row>
                    <xdr:rowOff>9525</xdr:rowOff>
                  </from>
                  <to>
                    <xdr:col>14</xdr:col>
                    <xdr:colOff>571500</xdr:colOff>
                    <xdr:row>10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44" r:id="rId8" name="Check Box 72">
              <controlPr defaultSize="0" autoFill="0" autoLine="0" autoPict="0" altText="">
                <anchor moveWithCells="1">
                  <from>
                    <xdr:col>12</xdr:col>
                    <xdr:colOff>352425</xdr:colOff>
                    <xdr:row>9</xdr:row>
                    <xdr:rowOff>9525</xdr:rowOff>
                  </from>
                  <to>
                    <xdr:col>12</xdr:col>
                    <xdr:colOff>561975</xdr:colOff>
                    <xdr:row>10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47" r:id="rId9" name="Check Box 75">
              <controlPr defaultSize="0" autoFill="0" autoLine="0" autoPict="0" altText="">
                <anchor moveWithCells="1">
                  <from>
                    <xdr:col>14</xdr:col>
                    <xdr:colOff>361950</xdr:colOff>
                    <xdr:row>9</xdr:row>
                    <xdr:rowOff>19050</xdr:rowOff>
                  </from>
                  <to>
                    <xdr:col>14</xdr:col>
                    <xdr:colOff>561975</xdr:colOff>
                    <xdr:row>10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51" r:id="rId10" name="Check Box 79">
              <controlPr defaultSize="0" autoFill="0" autoLine="0" autoPict="0" altText="">
                <anchor moveWithCells="1">
                  <from>
                    <xdr:col>14</xdr:col>
                    <xdr:colOff>361950</xdr:colOff>
                    <xdr:row>8</xdr:row>
                    <xdr:rowOff>0</xdr:rowOff>
                  </from>
                  <to>
                    <xdr:col>14</xdr:col>
                    <xdr:colOff>561975</xdr:colOff>
                    <xdr:row>8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52" r:id="rId11" name="Check Box 80">
              <controlPr defaultSize="0" autoFill="0" autoLine="0" autoPict="0" altText="">
                <anchor moveWithCells="1">
                  <from>
                    <xdr:col>12</xdr:col>
                    <xdr:colOff>352425</xdr:colOff>
                    <xdr:row>8</xdr:row>
                    <xdr:rowOff>9525</xdr:rowOff>
                  </from>
                  <to>
                    <xdr:col>12</xdr:col>
                    <xdr:colOff>552450</xdr:colOff>
                    <xdr:row>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54" r:id="rId12" name="Check Box 82">
              <controlPr defaultSize="0" autoFill="0" autoLine="0" autoPict="0" altText="">
                <anchor moveWithCells="1">
                  <from>
                    <xdr:col>16</xdr:col>
                    <xdr:colOff>514350</xdr:colOff>
                    <xdr:row>10</xdr:row>
                    <xdr:rowOff>0</xdr:rowOff>
                  </from>
                  <to>
                    <xdr:col>17</xdr:col>
                    <xdr:colOff>19050</xdr:colOff>
                    <xdr:row>10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57" r:id="rId13" name="Check Box 85">
              <controlPr defaultSize="0" autoFill="0" autoLine="0" autoPict="0" altText="">
                <anchor moveWithCells="1">
                  <from>
                    <xdr:col>12</xdr:col>
                    <xdr:colOff>352425</xdr:colOff>
                    <xdr:row>11</xdr:row>
                    <xdr:rowOff>9525</xdr:rowOff>
                  </from>
                  <to>
                    <xdr:col>12</xdr:col>
                    <xdr:colOff>552450</xdr:colOff>
                    <xdr:row>12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58" r:id="rId14" name="Check Box 86">
              <controlPr defaultSize="0" autoFill="0" autoLine="0" autoPict="0" altText="">
                <anchor moveWithCells="1">
                  <from>
                    <xdr:col>12</xdr:col>
                    <xdr:colOff>352425</xdr:colOff>
                    <xdr:row>12</xdr:row>
                    <xdr:rowOff>0</xdr:rowOff>
                  </from>
                  <to>
                    <xdr:col>12</xdr:col>
                    <xdr:colOff>561975</xdr:colOff>
                    <xdr:row>12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59" r:id="rId15" name="Check Box 87">
              <controlPr defaultSize="0" autoFill="0" autoLine="0" autoPict="0" altText="">
                <anchor moveWithCells="1">
                  <from>
                    <xdr:col>14</xdr:col>
                    <xdr:colOff>361950</xdr:colOff>
                    <xdr:row>11</xdr:row>
                    <xdr:rowOff>0</xdr:rowOff>
                  </from>
                  <to>
                    <xdr:col>14</xdr:col>
                    <xdr:colOff>571500</xdr:colOff>
                    <xdr:row>11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06" r:id="rId16" name="Check Box 134">
              <controlPr defaultSize="0" autoFill="0" autoLine="0" autoPict="0" altText="">
                <anchor moveWithCells="1">
                  <from>
                    <xdr:col>14</xdr:col>
                    <xdr:colOff>361950</xdr:colOff>
                    <xdr:row>12</xdr:row>
                    <xdr:rowOff>0</xdr:rowOff>
                  </from>
                  <to>
                    <xdr:col>14</xdr:col>
                    <xdr:colOff>542925</xdr:colOff>
                    <xdr:row>12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09" r:id="rId17" name="Check Box 137">
              <controlPr defaultSize="0" autoFill="0" autoLine="0" autoPict="0">
                <anchor moveWithCells="1">
                  <from>
                    <xdr:col>14</xdr:col>
                    <xdr:colOff>361950</xdr:colOff>
                    <xdr:row>6</xdr:row>
                    <xdr:rowOff>180975</xdr:rowOff>
                  </from>
                  <to>
                    <xdr:col>14</xdr:col>
                    <xdr:colOff>571500</xdr:colOff>
                    <xdr:row>8</xdr:row>
                    <xdr:rowOff>9525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DPS计算器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2017-08-28T07:52:06Z</dcterms:modified>
</cp:coreProperties>
</file>